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as8il06Ao3BhPth2P3sUQsEFJENR944R5P+8BH4HvIwMm/BItIooGZKjnGJ9rSv+tsObd3kP2fY44BQhQJgm7A==" workbookSaltValue="PF9Q8IdxY1FD7q9+IQ4O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N10" i="11"/>
  <c r="N9" i="11"/>
  <c r="E15" i="6"/>
  <c r="F10" i="10"/>
  <c r="D11" i="2"/>
  <c r="N11" i="11"/>
  <c r="ES19" i="8"/>
  <c r="C18" i="7"/>
  <c r="S19" i="13"/>
  <c r="AG19" i="19"/>
  <c r="F9" i="11"/>
  <c r="R8" i="9"/>
  <c r="X12" i="21" s="1"/>
  <c r="CI19" i="8"/>
  <c r="EP19" i="8"/>
  <c r="ER19" i="13"/>
  <c r="AL13" i="16"/>
  <c r="AP16" i="20"/>
  <c r="BH9" i="16"/>
  <c r="V15"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N13" i="2"/>
  <c r="B12" i="6"/>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D12" i="8"/>
  <c r="H12" i="7" s="1"/>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C17" i="6"/>
  <c r="AJ19" i="8"/>
  <c r="AO16" i="11"/>
  <c r="AW18" i="21"/>
  <c r="AO12" i="17"/>
  <c r="AO12" i="11"/>
  <c r="AB19" i="8"/>
  <c r="Z19" i="8"/>
  <c r="AC10" i="11"/>
  <c r="H13" i="12"/>
  <c r="BG10" i="8"/>
  <c r="T10" i="21"/>
  <c r="F9" i="2"/>
  <c r="E11" i="6"/>
  <c r="AL11" i="11"/>
  <c r="B9" i="6"/>
  <c r="E9" i="6"/>
  <c r="L12" i="14"/>
  <c r="AO9" i="11"/>
  <c r="B16" i="6"/>
  <c r="AO16" i="17"/>
  <c r="H12" i="2"/>
  <c r="M18" i="2"/>
  <c r="M19" i="2" s="1"/>
  <c r="N18" i="2"/>
  <c r="BL9" i="11"/>
  <c r="BH11" i="16"/>
  <c r="BF11" i="11"/>
  <c r="T9" i="11"/>
  <c r="V10" i="21"/>
  <c r="S12" i="14"/>
  <c r="V12" i="14" s="1"/>
  <c r="S16" i="14"/>
  <c r="V16" i="14" s="1"/>
  <c r="BD15" i="8"/>
  <c r="H15" i="7" s="1"/>
  <c r="BE15" i="8"/>
  <c r="BG16" i="8"/>
  <c r="C10" i="6"/>
  <c r="I10" i="12" s="1"/>
  <c r="E18" i="2"/>
  <c r="AL15" i="11"/>
  <c r="L16" i="14"/>
  <c r="F15" i="11"/>
  <c r="AQ15" i="11" s="1"/>
  <c r="F16" i="17"/>
  <c r="AQ16" i="17" s="1"/>
  <c r="BB13" i="13"/>
  <c r="D12" i="12"/>
  <c r="BG9" i="8"/>
  <c r="K9" i="7" s="1"/>
  <c r="BD11" i="8"/>
  <c r="BE11" i="8"/>
  <c r="I11" i="7" s="1"/>
  <c r="BG12" i="8"/>
  <c r="BE12" i="8"/>
  <c r="L11" i="14"/>
  <c r="F12" i="11"/>
  <c r="AQ12" i="11"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AI19" i="11" l="1"/>
  <c r="AL18" i="11"/>
  <c r="G21" i="11"/>
  <c r="F19" i="7"/>
  <c r="H13" i="2"/>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<sst xmlns="http://schemas.openxmlformats.org/spreadsheetml/2006/main" count="2102" uniqueCount="918">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</sst>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Bt9i2GQnVmEzRbbf0KPZDbLEoA0vUzRbwqK829RlBpzlfPwVgHFs5X8HNQDc/z3SamtjfsYTnUCSO+dizn0JA==" saltValue="ONB69vQYgF+dUO+tZZFD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13</v>
      </c>
      <c r="F10" s="225">
        <f>IF(ISNUMBER(Datos!K10),Datos!K10," - ")</f>
        <v>0</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0.76470588235294112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14.631305637982196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13</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939</v>
      </c>
      <c r="D16" s="224">
        <f>IF(ISNUMBER(IF(D_I="SI",Datos!I16,Datos!I16+Datos!AC16)),IF(D_I="SI",Datos!I16,Datos!I16+Datos!AC16)," - ")</f>
        <v>939</v>
      </c>
      <c r="E16" s="225">
        <f>IF(ISNUMBER(IF(D_I="SI",Datos!J16,Datos!J16+Datos!AD16)),IF(D_I="SI",Datos!J16,Datos!J16+Datos!AD16)," - ")</f>
        <v>1264</v>
      </c>
      <c r="F16" s="225">
        <f>IF(ISNUMBER(IF(D_I="SI",Datos!K16,Datos!K16+Datos!AE16)),IF(D_I="SI",Datos!K16,Datos!K16+Datos!AE16)," - ")</f>
        <v>1141</v>
      </c>
      <c r="G16" s="1033" t="str">
        <f>IF(Datos!E16&lt;&gt;"",Datos!E16,Datos!D16)</f>
        <v>04</v>
      </c>
      <c r="H16" s="226">
        <f>IF(ISNUMBER(IF(D_I="SI",Datos!L16,Datos!L16+Datos!AF16)),IF(D_I="SI",Datos!L16,Datos!L16+Datos!AF16)," - ")</f>
        <v>1062</v>
      </c>
      <c r="I16" s="1043" t="str">
        <f>IF(ISNUMBER(Datos!AS16/Datos!BM16),Datos!AS16/Datos!BM16," - ")</f>
        <v xml:space="preserve"> - </v>
      </c>
      <c r="J16" s="1044">
        <f>IF(ISNUMBER(Datos!BY16/Datos!CN16),Datos!BY16/Datos!CN16," - ")</f>
        <v>0</v>
      </c>
      <c r="K16" s="229">
        <f t="shared" si="3"/>
        <v>0.13099041533546327</v>
      </c>
      <c r="L16" s="1024">
        <f>IF(ISNUMBER(NºAsuntos!I16/NºAsuntos!G16),(NºAsuntos!I16/NºAsuntos!G16)*11," - ")</f>
        <v>10.238387379491673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118</v>
      </c>
      <c r="D17" s="224">
        <f>IF(ISNUMBER(IF(D_I="SI",Datos!I17,Datos!I17+Datos!AC17)),IF(D_I="SI",Datos!I17,Datos!I17+Datos!AC17)," - ")</f>
        <v>118</v>
      </c>
      <c r="E17" s="225">
        <f>IF(ISNUMBER(IF(D_I="SI",Datos!J17,Datos!J17+Datos!AD17)),IF(D_I="SI",Datos!J17,Datos!J17+Datos!AD17)," - ")</f>
        <v>156</v>
      </c>
      <c r="F17" s="225">
        <f>IF(ISNUMBER(IF(D_I="SI",Datos!K17,Datos!K17+Datos!AE17)),IF(D_I="SI",Datos!K17,Datos!K17+Datos!AE17)," - ")</f>
        <v>178</v>
      </c>
      <c r="G17" s="1033" t="str">
        <f>IF(Datos!E17&lt;&gt;"",Datos!E17,Datos!D17)</f>
        <v>37</v>
      </c>
      <c r="H17" s="226">
        <f>IF(ISNUMBER(IF(D_I="SI",Datos!L17,Datos!L17+Datos!AF17)),IF(D_I="SI",Datos!L17,Datos!L17+Datos!AF17)," - ")</f>
        <v>96</v>
      </c>
      <c r="I17" s="1043" t="str">
        <f>IF(ISNUMBER(Datos!AS17/Datos!BM17),Datos!AS17/Datos!BM17," - ")</f>
        <v xml:space="preserve"> - </v>
      </c>
      <c r="J17" s="1044" t="str">
        <f>IF(ISNUMBER((Datos!BY17+Datos!BZ17)/Datos!CN17),(Datos!BY17+Datos!BZ17)/Datos!CN17," - ")</f>
        <v xml:space="preserve"> - </v>
      </c>
      <c r="K17" s="229">
        <f t="shared" si="3"/>
        <v>-0.1864406779661017</v>
      </c>
      <c r="L17" s="1024">
        <f>IF(ISNUMBER(NºAsuntos!I17/NºAsuntos!G17),(NºAsuntos!I17/NºAsuntos!G17)*11," - ")</f>
        <v>5.9325842696629216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1057</v>
      </c>
      <c r="D18" s="1048">
        <f>SUBTOTAL(9,D15:D17)</f>
        <v>1057</v>
      </c>
      <c r="E18" s="1049">
        <f>SUBTOTAL(9,E15:E17)</f>
        <v>1420</v>
      </c>
      <c r="F18" s="1049">
        <f>SUBTOTAL(9,F15:F17)</f>
        <v>1319</v>
      </c>
      <c r="G18" s="1051" t="str">
        <f ca="1">INDIRECT(CONCATENATE("G",ROW()-1))</f>
        <v>37</v>
      </c>
      <c r="H18" s="1052">
        <f ca="1">SUMIF(G$14:G17,G18,H$14:H17)</f>
        <v>96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1074</v>
      </c>
      <c r="D19" s="1070">
        <f>SUBTOTAL(9,D9:D18)</f>
        <v>1074</v>
      </c>
      <c r="E19" s="1071">
        <f>SUBTOTAL(9,E9:E18)</f>
        <v>1433</v>
      </c>
      <c r="F19" s="1071">
        <f>SUBTOTAL(9,F9:F18)</f>
        <v>1319</v>
      </c>
      <c r="G19" s="1072"/>
      <c r="H19" s="1073">
        <f ca="1">SUMIF(B9:B18,"TOTAL",H9:H18)</f>
        <v>96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QtEOhwneqo/2kyDllVvt08Gu1dt1994Q7HN8KMe0u6LA666BziAwv8VTf+7Dkp9kFmzHkxIZEbH3sEGL+HWAg==" saltValue="DjQKbdtiUf0kslIaWKRa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CTH+gnxcmzk+DYWOcIo/y4XT0Q3MccldRI28QwKwDprX58XQIrj2l71k2+HtKLsJ/ohWaDKahmBdpVvvfLx+Q==" saltValue="9zChpW1p58u9DS9B+52K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13</v>
      </c>
      <c r="K10" s="180">
        <v>0</v>
      </c>
      <c r="L10" s="180">
        <v>30</v>
      </c>
      <c r="M10" s="180">
        <v>0</v>
      </c>
      <c r="N10" s="180">
        <v>0</v>
      </c>
      <c r="O10" s="180">
        <v>0</v>
      </c>
      <c r="P10" s="180">
        <v>0</v>
      </c>
      <c r="Q10" s="180">
        <v>0</v>
      </c>
      <c r="R10" s="180">
        <v>1</v>
      </c>
      <c r="S10" s="180">
        <v>3</v>
      </c>
      <c r="T10" s="180">
        <v>17</v>
      </c>
      <c r="U10" s="180">
        <v>0</v>
      </c>
      <c r="V10" s="180">
        <v>17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17</v>
      </c>
      <c r="BA10" s="129">
        <f t="shared" si="0"/>
        <v>0</v>
      </c>
      <c r="BB10" s="129">
        <f t="shared" si="0"/>
        <v>17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1596</v>
      </c>
      <c r="J12" s="182">
        <v>1177</v>
      </c>
      <c r="K12" s="182">
        <v>1121</v>
      </c>
      <c r="L12" s="182">
        <v>1658</v>
      </c>
      <c r="M12" s="182">
        <v>412</v>
      </c>
      <c r="N12" s="182">
        <v>433</v>
      </c>
      <c r="O12" s="180">
        <v>578</v>
      </c>
      <c r="P12" s="182">
        <v>323</v>
      </c>
      <c r="Q12" s="182">
        <v>158</v>
      </c>
      <c r="R12" s="182">
        <v>1296</v>
      </c>
      <c r="S12" s="182">
        <v>1157</v>
      </c>
      <c r="T12" s="182">
        <v>1634</v>
      </c>
      <c r="U12" s="182">
        <v>979</v>
      </c>
      <c r="V12" s="182">
        <v>1596</v>
      </c>
      <c r="W12" s="182">
        <v>295</v>
      </c>
      <c r="X12" s="188">
        <v>363</v>
      </c>
      <c r="Y12" s="190">
        <v>144</v>
      </c>
      <c r="Z12" s="180">
        <v>218</v>
      </c>
      <c r="AA12" s="180">
        <v>227</v>
      </c>
      <c r="AB12" s="180">
        <v>135</v>
      </c>
      <c r="AC12" s="182">
        <v>0</v>
      </c>
      <c r="AD12" s="182">
        <v>0</v>
      </c>
      <c r="AE12" s="182">
        <v>0</v>
      </c>
      <c r="AF12" s="188">
        <v>0</v>
      </c>
      <c r="AG12" s="201">
        <v>69</v>
      </c>
      <c r="AH12" s="182">
        <v>256</v>
      </c>
      <c r="AI12" s="182">
        <v>184</v>
      </c>
      <c r="AJ12" s="202">
        <v>144</v>
      </c>
      <c r="AK12" s="181">
        <v>0</v>
      </c>
      <c r="AL12" s="182">
        <v>0</v>
      </c>
      <c r="AM12" s="182">
        <v>0</v>
      </c>
      <c r="AN12" s="188">
        <v>0</v>
      </c>
      <c r="AO12" s="258">
        <v>2</v>
      </c>
      <c r="AP12" s="154">
        <v>2</v>
      </c>
      <c r="AQ12" s="154">
        <v>2</v>
      </c>
      <c r="AR12" s="153">
        <v>2</v>
      </c>
      <c r="AS12" s="339" t="s">
        <v>794</v>
      </c>
      <c r="AT12" s="202"/>
      <c r="AU12" s="201"/>
      <c r="AV12" s="202"/>
      <c r="AW12" s="201"/>
      <c r="AX12" s="202"/>
      <c r="AY12" s="126">
        <f t="shared" si="1"/>
        <v>1226</v>
      </c>
      <c r="AZ12" s="127">
        <f t="shared" si="1"/>
        <v>1890</v>
      </c>
      <c r="BA12" s="127">
        <f t="shared" si="1"/>
        <v>1163</v>
      </c>
      <c r="BB12" s="127">
        <f t="shared" si="1"/>
        <v>1740</v>
      </c>
      <c r="BC12" s="125">
        <f>IF(ISNUMBER(X12),X12," - ")</f>
        <v>363</v>
      </c>
      <c r="BD12" s="126">
        <f t="shared" si="2"/>
        <v>0.6153439153439153</v>
      </c>
      <c r="BE12" s="127">
        <f t="shared" si="3"/>
        <v>1.4961306964746346</v>
      </c>
      <c r="BF12" s="127">
        <f t="shared" si="4"/>
        <v>0.31212381771281167</v>
      </c>
      <c r="BG12" s="195">
        <f t="shared" si="5"/>
        <v>2.6792777300085984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1613</v>
      </c>
      <c r="J13" s="183">
        <f t="shared" si="6"/>
        <v>1190</v>
      </c>
      <c r="K13" s="183">
        <f t="shared" si="6"/>
        <v>1121</v>
      </c>
      <c r="L13" s="183">
        <f t="shared" si="6"/>
        <v>1688</v>
      </c>
      <c r="M13" s="183">
        <f t="shared" si="6"/>
        <v>412</v>
      </c>
      <c r="N13" s="183">
        <f t="shared" si="6"/>
        <v>433</v>
      </c>
      <c r="O13" s="183">
        <f t="shared" si="6"/>
        <v>578</v>
      </c>
      <c r="P13" s="183">
        <f t="shared" si="6"/>
        <v>323</v>
      </c>
      <c r="Q13" s="183">
        <f t="shared" si="6"/>
        <v>158</v>
      </c>
      <c r="R13" s="183">
        <f t="shared" si="6"/>
        <v>1297</v>
      </c>
      <c r="S13" s="183">
        <f t="shared" si="6"/>
        <v>1160</v>
      </c>
      <c r="T13" s="183">
        <f t="shared" si="6"/>
        <v>1651</v>
      </c>
      <c r="U13" s="183">
        <f t="shared" si="6"/>
        <v>979</v>
      </c>
      <c r="V13" s="183">
        <f t="shared" si="6"/>
        <v>1613</v>
      </c>
      <c r="W13" s="183">
        <f t="shared" si="6"/>
        <v>295</v>
      </c>
      <c r="X13" s="183">
        <f t="shared" si="6"/>
        <v>363</v>
      </c>
      <c r="Y13" s="183">
        <f t="shared" si="6"/>
        <v>144</v>
      </c>
      <c r="Z13" s="183">
        <f t="shared" si="6"/>
        <v>218</v>
      </c>
      <c r="AA13" s="183">
        <f t="shared" si="6"/>
        <v>227</v>
      </c>
      <c r="AB13" s="183">
        <f t="shared" si="6"/>
        <v>135</v>
      </c>
      <c r="AC13" s="183">
        <f t="shared" si="6"/>
        <v>0</v>
      </c>
      <c r="AD13" s="183">
        <f t="shared" si="6"/>
        <v>0</v>
      </c>
      <c r="AE13" s="183">
        <f t="shared" si="6"/>
        <v>0</v>
      </c>
      <c r="AF13" s="183">
        <f>SUBTOTAL(9,AF9:AF12)</f>
        <v>0</v>
      </c>
      <c r="AG13" s="183">
        <f t="shared" ref="AG13:AT13" si="7">SUBTOTAL(9,AG8:AG12)</f>
        <v>69</v>
      </c>
      <c r="AH13" s="183">
        <f t="shared" si="7"/>
        <v>256</v>
      </c>
      <c r="AI13" s="183">
        <f t="shared" si="7"/>
        <v>184</v>
      </c>
      <c r="AJ13" s="183">
        <f t="shared" si="7"/>
        <v>144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1229</v>
      </c>
      <c r="AZ13" s="183">
        <f>SUBTOTAL(9,AZ8:AZ12)</f>
        <v>1907</v>
      </c>
      <c r="BA13" s="183">
        <f>SUBTOTAL(9,BA8:BA12)</f>
        <v>1163</v>
      </c>
      <c r="BB13" s="183">
        <f>SUBTOTAL(9,BB8:BB12)</f>
        <v>1757</v>
      </c>
      <c r="BC13" s="183">
        <f>SUBTOTAL(9,BC8:BC12)</f>
        <v>363</v>
      </c>
      <c r="BD13" s="204">
        <f>IF(ISNUMBER(BA13/AZ13),BA13/AZ13," - ")</f>
        <v>0.60985841636077609</v>
      </c>
      <c r="BE13" s="205">
        <f>IF(ISNUMBER(BB13/BA13),BB13/BA13, " - ")</f>
        <v>1.5107480653482372</v>
      </c>
      <c r="BF13" s="205">
        <f>IF(ISNUMBER(BC13/BA13),BC13/BA13, " - ")</f>
        <v>0.31212381771281167</v>
      </c>
      <c r="BG13" s="206">
        <f>IF(ISNUMBER((AY13+AZ13)/BA13),(AY13+AZ13)/BA13," - ")</f>
        <v>2.696474634565778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939</v>
      </c>
      <c r="J16" s="182">
        <v>1264</v>
      </c>
      <c r="K16" s="182">
        <v>1141</v>
      </c>
      <c r="L16" s="182">
        <v>1062</v>
      </c>
      <c r="M16" s="182">
        <v>121</v>
      </c>
      <c r="N16" s="182">
        <v>652</v>
      </c>
      <c r="O16" s="180">
        <v>0</v>
      </c>
      <c r="P16" s="182">
        <v>27</v>
      </c>
      <c r="Q16" s="182">
        <v>11</v>
      </c>
      <c r="R16" s="182">
        <v>80</v>
      </c>
      <c r="S16" s="182">
        <v>847</v>
      </c>
      <c r="T16" s="182">
        <v>1067</v>
      </c>
      <c r="U16" s="182">
        <v>923</v>
      </c>
      <c r="V16" s="182">
        <v>939</v>
      </c>
      <c r="W16" s="182">
        <v>140</v>
      </c>
      <c r="X16" s="188">
        <v>511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847</v>
      </c>
      <c r="AZ16" s="127">
        <f t="shared" si="9"/>
        <v>1067</v>
      </c>
      <c r="BA16" s="127">
        <f t="shared" si="9"/>
        <v>923</v>
      </c>
      <c r="BB16" s="127">
        <f t="shared" si="9"/>
        <v>939</v>
      </c>
      <c r="BC16" s="125">
        <f>IF(ISNUMBER(W16),W16," - ")</f>
        <v>140</v>
      </c>
      <c r="BD16" s="126">
        <f t="shared" ref="BD16" si="11">IF(ISNUMBER(BA16/AZ16),BA16/AZ16," - ")</f>
        <v>0.86504217432052488</v>
      </c>
      <c r="BE16" s="127">
        <f t="shared" ref="BE16" si="12">IF(ISNUMBER(BB16/BA16),BB16/BA16, " - ")</f>
        <v>1.0173347778981581</v>
      </c>
      <c r="BF16" s="127">
        <f t="shared" ref="BF16" si="13">IF(ISNUMBER(BC16/BA16),BC16/BA16, " - ")</f>
        <v>0.15167930660888407</v>
      </c>
      <c r="BG16" s="195">
        <f t="shared" si="10"/>
        <v>2.0736728060671723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118</v>
      </c>
      <c r="J17" s="182">
        <v>156</v>
      </c>
      <c r="K17" s="182">
        <v>178</v>
      </c>
      <c r="L17" s="182">
        <v>96</v>
      </c>
      <c r="M17" s="182">
        <v>6</v>
      </c>
      <c r="N17" s="182">
        <v>99</v>
      </c>
      <c r="O17" s="182">
        <v>0</v>
      </c>
      <c r="P17" s="182">
        <v>0</v>
      </c>
      <c r="Q17" s="182">
        <v>0</v>
      </c>
      <c r="R17" s="182">
        <v>1</v>
      </c>
      <c r="S17" s="182">
        <v>149</v>
      </c>
      <c r="T17" s="182">
        <v>162</v>
      </c>
      <c r="U17" s="182">
        <v>125</v>
      </c>
      <c r="V17" s="182">
        <v>118</v>
      </c>
      <c r="W17" s="182">
        <v>3</v>
      </c>
      <c r="X17" s="188">
        <v>101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149</v>
      </c>
      <c r="AZ17" s="129">
        <f t="shared" si="14"/>
        <v>162</v>
      </c>
      <c r="BA17" s="129">
        <f t="shared" si="14"/>
        <v>125</v>
      </c>
      <c r="BB17" s="129">
        <f t="shared" si="14"/>
        <v>118</v>
      </c>
      <c r="BC17" s="125">
        <f>IF(ISNUMBER(W17),W17," - ")</f>
        <v>3</v>
      </c>
      <c r="BD17" s="126">
        <f>IF(ISNUMBER(BA17/AZ17),BA17/AZ17," - ")</f>
        <v>0.77160493827160492</v>
      </c>
      <c r="BE17" s="127">
        <f>IF(ISNUMBER(BB17/BA17),BB17/BA17, " - ")</f>
        <v>0.94399999999999995</v>
      </c>
      <c r="BF17" s="127">
        <f>IF(ISNUMBER(BC17/BA17),BC17/BA17, " - ")</f>
        <v>2.4E-2</v>
      </c>
      <c r="BG17" s="195">
        <f>IF(ISNUMBER((AY17+AZ17)/BA17),(AY17+AZ17)/BA17," - ")</f>
        <v>2.488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1057</v>
      </c>
      <c r="J18" s="183">
        <f t="shared" si="15"/>
        <v>1420</v>
      </c>
      <c r="K18" s="183">
        <f t="shared" si="15"/>
        <v>1319</v>
      </c>
      <c r="L18" s="183">
        <f t="shared" si="15"/>
        <v>1158</v>
      </c>
      <c r="M18" s="183">
        <f t="shared" si="15"/>
        <v>127</v>
      </c>
      <c r="N18" s="183">
        <f t="shared" si="15"/>
        <v>751</v>
      </c>
      <c r="O18" s="183">
        <f t="shared" si="15"/>
        <v>0</v>
      </c>
      <c r="P18" s="183">
        <f t="shared" si="15"/>
        <v>27</v>
      </c>
      <c r="Q18" s="183">
        <f t="shared" si="15"/>
        <v>11</v>
      </c>
      <c r="R18" s="183">
        <f t="shared" si="15"/>
        <v>81</v>
      </c>
      <c r="S18" s="183">
        <f t="shared" si="15"/>
        <v>996</v>
      </c>
      <c r="T18" s="183">
        <f t="shared" si="15"/>
        <v>1229</v>
      </c>
      <c r="U18" s="183">
        <f t="shared" si="15"/>
        <v>1048</v>
      </c>
      <c r="V18" s="183">
        <f t="shared" si="15"/>
        <v>1057</v>
      </c>
      <c r="W18" s="183">
        <f t="shared" si="15"/>
        <v>143</v>
      </c>
      <c r="X18" s="183">
        <f t="shared" si="15"/>
        <v>612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996</v>
      </c>
      <c r="AZ18" s="183">
        <f>SUBTOTAL(9,AZ14:AZ17)</f>
        <v>1229</v>
      </c>
      <c r="BA18" s="183">
        <f>SUBTOTAL(9,BA14:BA17)</f>
        <v>1048</v>
      </c>
      <c r="BB18" s="183">
        <f>SUBTOTAL(9,BB14:BB17)</f>
        <v>1057</v>
      </c>
      <c r="BC18" s="183">
        <f>SUBTOTAL(9,BC14:BC17)</f>
        <v>143</v>
      </c>
      <c r="BD18" s="204">
        <f>IF(ISNUMBER(BA18/AZ18),BA18/AZ18," - ")</f>
        <v>0.85272579332790888</v>
      </c>
      <c r="BE18" s="205">
        <f>IF(ISNUMBER(BB18/BA18),BB18/BA18, " - ")</f>
        <v>1.008587786259542</v>
      </c>
      <c r="BF18" s="205">
        <f>IF(ISNUMBER(BC18/BA18),BC18/BA18, " - ")</f>
        <v>0.1364503816793893</v>
      </c>
      <c r="BG18" s="206">
        <f>IF(ISNUMBER((AY18+AZ18)/BA18),(AY18+AZ18)/BA18," - ")</f>
        <v>2.1230916030534353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2670</v>
      </c>
      <c r="J19" s="134">
        <f t="shared" si="18"/>
        <v>2610</v>
      </c>
      <c r="K19" s="134">
        <f t="shared" si="18"/>
        <v>2440</v>
      </c>
      <c r="L19" s="134">
        <f t="shared" si="18"/>
        <v>2846</v>
      </c>
      <c r="M19" s="134">
        <f t="shared" si="18"/>
        <v>539</v>
      </c>
      <c r="N19" s="134">
        <f t="shared" si="18"/>
        <v>1184</v>
      </c>
      <c r="O19" s="134">
        <f t="shared" si="18"/>
        <v>578</v>
      </c>
      <c r="P19" s="134">
        <f t="shared" si="18"/>
        <v>350</v>
      </c>
      <c r="Q19" s="134">
        <f t="shared" si="18"/>
        <v>169</v>
      </c>
      <c r="R19" s="134">
        <f t="shared" si="18"/>
        <v>1378</v>
      </c>
      <c r="S19" s="134">
        <f t="shared" si="18"/>
        <v>2156</v>
      </c>
      <c r="T19" s="134">
        <f t="shared" si="18"/>
        <v>2880</v>
      </c>
      <c r="U19" s="134">
        <f t="shared" si="18"/>
        <v>2027</v>
      </c>
      <c r="V19" s="134">
        <f t="shared" si="18"/>
        <v>2670</v>
      </c>
      <c r="W19" s="134">
        <f t="shared" si="18"/>
        <v>438</v>
      </c>
      <c r="X19" s="134">
        <f t="shared" si="18"/>
        <v>975</v>
      </c>
      <c r="Y19" s="134">
        <f t="shared" si="18"/>
        <v>144</v>
      </c>
      <c r="Z19" s="134">
        <f t="shared" si="18"/>
        <v>218</v>
      </c>
      <c r="AA19" s="134">
        <f t="shared" si="18"/>
        <v>227</v>
      </c>
      <c r="AB19" s="134">
        <f t="shared" si="18"/>
        <v>135</v>
      </c>
      <c r="AC19" s="134">
        <f t="shared" si="18"/>
        <v>0</v>
      </c>
      <c r="AD19" s="134">
        <f t="shared" si="18"/>
        <v>0</v>
      </c>
      <c r="AE19" s="134">
        <f t="shared" si="18"/>
        <v>0</v>
      </c>
      <c r="AF19" s="134">
        <f t="shared" si="18"/>
        <v>0</v>
      </c>
      <c r="AG19" s="134">
        <f t="shared" si="18"/>
        <v>69</v>
      </c>
      <c r="AH19" s="134">
        <f t="shared" si="18"/>
        <v>256</v>
      </c>
      <c r="AI19" s="134">
        <f t="shared" si="18"/>
        <v>184</v>
      </c>
      <c r="AJ19" s="134">
        <f t="shared" si="18"/>
        <v>144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2225</v>
      </c>
      <c r="AZ19" s="134">
        <f>SUBTOTAL(9,AZ9:AZ18)</f>
        <v>3136</v>
      </c>
      <c r="BA19" s="134">
        <f>SUBTOTAL(9,BA9:BA18)</f>
        <v>2211</v>
      </c>
      <c r="BB19" s="134">
        <f>SUBTOTAL(9,BB9:BB18)</f>
        <v>2814</v>
      </c>
      <c r="BC19" s="135">
        <f>SUBTOTAL(9,BC9:BC18)</f>
        <v>506</v>
      </c>
      <c r="BD19" s="212">
        <f>IF(ISNUMBER(BA19/AZ19),BA19/AZ19," - ")</f>
        <v>0.70503826530612246</v>
      </c>
      <c r="BE19" s="209">
        <f>IF(ISNUMBER(BB19/BA19),BB19/BA19, " - ")</f>
        <v>1.2727272727272727</v>
      </c>
      <c r="BF19" s="209">
        <f>IF(ISNUMBER(BC19/BA19),BC19/BA19, " - ")</f>
        <v>0.22885572139303484</v>
      </c>
      <c r="BG19" s="135">
        <f>IF(ISNUMBER((AY19+AZ19)/BA19),(AY19+AZ19)/BA19," - ")</f>
        <v>2.4246947082767978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6e8a4P7BBNCMuecEjeuKerIg9EkPqkXkf0DBQD33lrud8rl53smaDCGo3CNCVZoaqwgFkg2u0oITdCDHWfhgQ==" saltValue="yp+SB4JpfEl5v3DE70mI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OXZxiVjusN4pbEMXwYs31ZMHMhHas40wAbwxe5vd2xd1kqEtSkro+Eoj8Wp52QDjX66Xu+FLcuocjvaWxdYQ==" saltValue="kZ6dFU1zWRM4FvtLHoBz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MONFORTE DE LEMOS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218</v>
      </c>
      <c r="O12" s="333"/>
      <c r="P12" s="333"/>
      <c r="Q12" s="225">
        <f>IF(ISNUMBER(Datos!P12),Datos!P12,0)</f>
        <v>323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135</v>
      </c>
      <c r="AI12" s="333" t="str">
        <f>IF(ISNUMBER(Datos!CD12),Datos!CD12,"-")</f>
        <v>-</v>
      </c>
      <c r="AJ12" s="333" t="str">
        <f>IF(ISNUMBER(Datos!EN12),Datos!EN12," - ")</f>
        <v xml:space="preserve"> - </v>
      </c>
      <c r="AK12" s="333"/>
      <c r="AL12" s="478"/>
      <c r="AM12" s="334">
        <f>IF(ISNUMBER(Datos!R12),Datos!R12," - ")</f>
        <v>1296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412</v>
      </c>
      <c r="BD12" s="228">
        <f>IF(ISNUMBER(Datos!N12),Datos!N12," - ")</f>
        <v>433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0.9663082437275986</v>
      </c>
      <c r="BH12" s="259">
        <f>IF(ISNUMBER(((IF(J_V="SI",Datos!L12/Datos!K12,(Datos!L12+Datos!AB12)/(Datos!K12+Datos!AA12)))*11)/factor_trimestre),((IF(J_V="SI",Datos!L12/Datos!K12,(Datos!L12+Datos!AB12)/(Datos!K12+Datos!AA12)))*11)/factor_trimestre," - ")</f>
        <v>14.631305637982196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0.14588859416445624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218</v>
      </c>
      <c r="O13" s="899">
        <f t="shared" si="0"/>
        <v>0</v>
      </c>
      <c r="P13" s="899">
        <f t="shared" si="0"/>
        <v>0</v>
      </c>
      <c r="Q13" s="898">
        <f t="shared" si="0"/>
        <v>323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158</v>
      </c>
      <c r="AD13" s="898">
        <f t="shared" si="1"/>
        <v>0</v>
      </c>
      <c r="AE13" s="898">
        <f t="shared" si="1"/>
        <v>0</v>
      </c>
      <c r="AF13" s="898">
        <f t="shared" si="1"/>
        <v>30</v>
      </c>
      <c r="AG13" s="898">
        <f t="shared" si="1"/>
        <v>0</v>
      </c>
      <c r="AH13" s="898">
        <f t="shared" si="1"/>
        <v>135</v>
      </c>
      <c r="AI13" s="898">
        <f t="shared" si="1"/>
        <v>0</v>
      </c>
      <c r="AJ13" s="898">
        <f t="shared" si="1"/>
        <v>0</v>
      </c>
      <c r="AK13" s="898">
        <f t="shared" si="1"/>
        <v>0</v>
      </c>
      <c r="AL13" s="898">
        <f t="shared" si="1"/>
        <v>0</v>
      </c>
      <c r="AM13" s="898">
        <f t="shared" si="1"/>
        <v>1297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412</v>
      </c>
      <c r="BD13" s="898">
        <f t="shared" si="1"/>
        <v>433</v>
      </c>
      <c r="BE13" s="898">
        <f t="shared" si="1"/>
        <v>0</v>
      </c>
      <c r="BF13" s="898">
        <f t="shared" si="1"/>
        <v>0</v>
      </c>
      <c r="BG13" s="898">
        <f>IF(ISNUMBER(Datos!K13/Datos!J13),Datos!K13/Datos!J13," - ")</f>
        <v>0.94201680672268906</v>
      </c>
      <c r="BH13" s="902">
        <f>IF(ISNUMBER(((Datos!L13/Datos!K13)*11)/factor_trimestre),((Datos!L13/Datos!K13)*11)/factor_trimestre," - ")</f>
        <v>16.56378233719893</v>
      </c>
      <c r="BI13" s="898">
        <f>IF(ISNUMBER('Resol  Asuntos'!D13/NºAsuntos!G13),'Resol  Asuntos'!D13/NºAsuntos!G13," - ")</f>
        <v>0.3056379821958457</v>
      </c>
      <c r="BJ13" s="898" t="str">
        <f>IF(ISNUMBER(Datos!CI13/Datos!CJ13),Datos!CI13/Datos!CJ13," - ")</f>
        <v xml:space="preserve"> - </v>
      </c>
      <c r="BK13" s="898">
        <f>SUBTOTAL(9,BK8:BK12)</f>
        <v>0</v>
      </c>
      <c r="BL13" s="898">
        <f>IF(ISNUMBER((I13-AB13+L13)/(F13)),(I13-AB13+L13)/(F13)," - ")</f>
        <v>0</v>
      </c>
      <c r="BM13" s="903">
        <f>SUBTOTAL(9,BM9:BM12)</f>
        <v>0.14588859416445624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939</v>
      </c>
      <c r="G16" s="597">
        <f>IF(ISNUMBER(IF(D_I="SI",Datos!I16,Datos!I16+Datos!AC16)),IF(D_I="SI",Datos!I16,Datos!I16+Datos!AC16)," - ")</f>
        <v>939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1141</v>
      </c>
      <c r="AC16" s="225">
        <f>IF(ISNUMBER(Datos!Q16),Datos!Q16," - ")</f>
        <v>11</v>
      </c>
      <c r="AD16" s="333"/>
      <c r="AE16" s="483"/>
      <c r="AF16" s="595">
        <f>IF(ISNUMBER(IF(D_I="SI",Datos!L16,Datos!L16+Datos!AF16)),IF(D_I="SI",Datos!L16,Datos!L16+Datos!AF16)," - ")</f>
        <v>1062</v>
      </c>
      <c r="AG16" s="333"/>
      <c r="AH16" s="333"/>
      <c r="AI16" s="333"/>
      <c r="AJ16" s="333"/>
      <c r="AK16" s="333"/>
      <c r="AL16" s="478"/>
      <c r="AM16" s="334">
        <f>IF(ISNUMBER(Datos!R16),Datos!R16," - ")</f>
        <v>80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121</v>
      </c>
      <c r="BD16" s="228">
        <f>IF(ISNUMBER(Datos!N16),Datos!N16," - ")</f>
        <v>652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0.90268987341772156</v>
      </c>
      <c r="BH16" s="259">
        <f>IF(ISNUMBER(((IF(D_I="SI",Datos!L16/Datos!K16,(Datos!L16+Datos!AF16)/(Datos!K16+Datos!AE16)))*11)/factor_trimestre),((IF(D_I="SI",Datos!L16/Datos!K16,(Datos!L16+Datos!AF16)/(Datos!K16+Datos!AE16)))*11)/factor_trimestre," - ")</f>
        <v>10.238387379491673</v>
      </c>
      <c r="BI16" s="242">
        <f>IF(ISNUMBER('Resol  Asuntos'!D16/NºAsuntos!G16),'Resol  Asuntos'!D16/NºAsuntos!G16," - ")</f>
        <v>0.10604732690622261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178</v>
      </c>
      <c r="AC17" s="225">
        <f>IF(ISNUMBER(Datos!Q17),Datos!Q17," - ")</f>
        <v>0</v>
      </c>
      <c r="AD17" s="333"/>
      <c r="AE17" s="483"/>
      <c r="AF17" s="331">
        <f>IF(ISNUMBER(Datos!L17),Datos!L17,"-")</f>
        <v>96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99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1.141025641025641</v>
      </c>
      <c r="BH17" s="259">
        <f>IF(ISNUMBER(((IF(D_I="SI",Datos!L17/Datos!K17,(Datos!L17+Datos!AF17)/(Datos!K17+Datos!AE17)))*11)/factor_trimestre),((IF(D_I="SI",Datos!L17/Datos!K17,(Datos!L17+Datos!AF17)/(Datos!K17+Datos!AE17)))*11)/factor_trimestre," - ")</f>
        <v>5.9325842696629216</v>
      </c>
      <c r="BI17" s="242">
        <f>IF(ISNUMBER('Resol  Asuntos'!D17/NºAsuntos!G17),'Resol  Asuntos'!D17/NºAsuntos!G17," - ")</f>
        <v>3.3707865168539325E-2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939</v>
      </c>
      <c r="G18" s="897">
        <f>SUBTOTAL(9,G15:G17)</f>
        <v>1057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1319</v>
      </c>
      <c r="AC18" s="898">
        <f t="shared" si="4"/>
        <v>11</v>
      </c>
      <c r="AD18" s="898">
        <f t="shared" si="4"/>
        <v>0</v>
      </c>
      <c r="AE18" s="898">
        <f t="shared" si="4"/>
        <v>0</v>
      </c>
      <c r="AF18" s="898">
        <f t="shared" si="4"/>
        <v>1158</v>
      </c>
      <c r="AG18" s="898">
        <f t="shared" si="4"/>
        <v>0</v>
      </c>
      <c r="AH18" s="898">
        <f t="shared" si="4"/>
        <v>0</v>
      </c>
      <c r="AI18" s="898">
        <f t="shared" si="4"/>
        <v>0</v>
      </c>
      <c r="AJ18" s="898">
        <f t="shared" si="4"/>
        <v>0</v>
      </c>
      <c r="AK18" s="898">
        <f t="shared" si="4"/>
        <v>0</v>
      </c>
      <c r="AL18" s="898">
        <f t="shared" si="4"/>
        <v>0</v>
      </c>
      <c r="AM18" s="898">
        <f t="shared" si="4"/>
        <v>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127</v>
      </c>
      <c r="BD18" s="898">
        <f t="shared" si="4"/>
        <v>751</v>
      </c>
      <c r="BE18" s="898">
        <f t="shared" si="4"/>
        <v>0</v>
      </c>
      <c r="BF18" s="898">
        <f t="shared" si="4"/>
        <v>0</v>
      </c>
      <c r="BG18" s="898">
        <f>IF(ISNUMBER(Datos!K18/Datos!J18),Datos!K18/Datos!J18," - ")</f>
        <v>0.9288732394366197</v>
      </c>
      <c r="BH18" s="902">
        <f>IF(ISNUMBER(((Datos!L18/Datos!K18)*11)/factor_trimestre),((Datos!L18/Datos!K18)*11)/factor_trimestre," - ")</f>
        <v>9.6573161485974222</v>
      </c>
      <c r="BI18" s="898">
        <f>SUBTOTAL(9,BI15:BI17)</f>
        <v>0.13975519207476195</v>
      </c>
      <c r="BJ18" s="898">
        <f>SUBTOTAL(9,BJ15:BJ17)</f>
        <v>0</v>
      </c>
      <c r="BK18" s="898">
        <f>SUBTOTAL(9,BK15:BK17)</f>
        <v>0</v>
      </c>
      <c r="BL18" s="898">
        <f>IF(ISNUMBER((I18-AB18+L18)/(F18)),(I18-AB18+L18)/(F18)," - ")</f>
        <v>-1.4046858359957402</v>
      </c>
      <c r="BM18" s="904">
        <f>IF(ISNUMBER((Datos!P18-Datos!Q18)/(Datos!R18-Datos!P18+Datos!Q18)),(Datos!P18-Datos!Q18)/(Datos!R18-Datos!P18+Datos!Q18)," - ")</f>
        <v>0.24615384615384617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956</v>
      </c>
      <c r="G19" s="819">
        <f t="shared" si="6"/>
        <v>1074</v>
      </c>
      <c r="H19" s="821">
        <f t="shared" si="6"/>
        <v>0</v>
      </c>
      <c r="I19" s="819">
        <f t="shared" si="6"/>
        <v>0</v>
      </c>
      <c r="J19" s="821">
        <f t="shared" si="6"/>
        <v>0</v>
      </c>
      <c r="K19" s="821">
        <f t="shared" si="6"/>
        <v>0</v>
      </c>
      <c r="L19" s="880">
        <f t="shared" si="6"/>
        <v>0</v>
      </c>
      <c r="M19" s="880">
        <f t="shared" si="6"/>
        <v>0</v>
      </c>
      <c r="N19" s="880">
        <f t="shared" si="6"/>
        <v>218</v>
      </c>
      <c r="O19" s="880">
        <f t="shared" si="6"/>
        <v>0</v>
      </c>
      <c r="P19" s="880">
        <f t="shared" si="6"/>
        <v>0</v>
      </c>
      <c r="Q19" s="821">
        <f t="shared" si="6"/>
        <v>350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1319</v>
      </c>
      <c r="AC19" s="820">
        <f t="shared" si="7"/>
        <v>169</v>
      </c>
      <c r="AD19" s="820">
        <f t="shared" si="7"/>
        <v>0</v>
      </c>
      <c r="AE19" s="820">
        <f t="shared" si="7"/>
        <v>0</v>
      </c>
      <c r="AF19" s="827">
        <f t="shared" si="7"/>
        <v>1188</v>
      </c>
      <c r="AG19" s="827">
        <f t="shared" si="7"/>
        <v>0</v>
      </c>
      <c r="AH19" s="827">
        <f t="shared" si="7"/>
        <v>135</v>
      </c>
      <c r="AI19" s="827">
        <f t="shared" si="7"/>
        <v>0</v>
      </c>
      <c r="AJ19" s="820">
        <f t="shared" si="7"/>
        <v>0</v>
      </c>
      <c r="AK19" s="827">
        <f t="shared" si="7"/>
        <v>0</v>
      </c>
      <c r="AL19" s="827">
        <f t="shared" si="7"/>
        <v>0</v>
      </c>
      <c r="AM19" s="827">
        <f t="shared" si="7"/>
        <v>1378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539</v>
      </c>
      <c r="BD19" s="819">
        <f t="shared" si="7"/>
        <v>1184</v>
      </c>
      <c r="BE19" s="819">
        <f t="shared" si="7"/>
        <v>0</v>
      </c>
      <c r="BF19" s="829">
        <f t="shared" si="7"/>
        <v>0</v>
      </c>
      <c r="BG19" s="914">
        <f>IF(ISNUMBER(Datos!K19/Datos!J19),Datos!K19/Datos!J19," - ")</f>
        <v>0.93486590038314177</v>
      </c>
      <c r="BH19" s="914">
        <f>IF(ISNUMBER(((Datos!L19/Datos!K19)*11)/factor_trimestre),((Datos!L19/Datos!K19)*11)/factor_trimestre," - ")</f>
        <v>12.830327868852459</v>
      </c>
      <c r="BI19" s="812">
        <f>IF(ISNUMBER(Datos!J19/Datos!I19),Datos!J19/Datos!I19," - ")</f>
        <v>0.97752808988764039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-1.3797071129707112</v>
      </c>
      <c r="BM19" s="888">
        <f>IF(ISNUMBER((Datos!P19-Datos!Q19+R19)/(Datos!R19-Datos!P19+Datos!Q19-R19)),(Datos!P19-Datos!Q19+R19)/(Datos!R19-Datos!P19+Datos!Q19-R19)," - ")</f>
        <v>0.15121136173767752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532.31694819283496</v>
      </c>
      <c r="G21" s="551">
        <f>IF(ISNUMBER(STDEV(G8:G18)),STDEV(G8:G18),"-")</f>
        <v>522.18081159690269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648.36664010419292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187.943253847183</v>
      </c>
      <c r="BD21" s="550"/>
      <c r="BE21" s="550">
        <f>IF(ISNUMBER(STDEV(BE8:BE18)),STDEV(BE8:BE18),"-")</f>
        <v>0</v>
      </c>
      <c r="BF21" s="555">
        <f>IF(ISNUMBER(STDEV(BF8:BF18)),STDEV(BF8:BF18),"-")</f>
        <v>0</v>
      </c>
      <c r="BG21" s="774">
        <f>IF(ISNUMBER(STDEV(BG8:BG18)),STDEV(BG8:BG18),"-")</f>
        <v>0.40747712602075092</v>
      </c>
      <c r="BH21" s="775">
        <f>IF(ISNUMBER(STDEV(BH8:BH18)),STDEV(BH8:BH18),"-")</f>
        <v>4.2244763143220503</v>
      </c>
      <c r="BI21" s="248">
        <f>IF(ISNUMBER(STDEV(BI8:BI18)),STDEV(BI8:BI18),"-")</f>
        <v>0.11507778953330317</v>
      </c>
      <c r="BJ21" s="229" t="str">
        <f>IF(ISNUMBER(BL21/BM21),BL21/BM21," - ")</f>
        <v xml:space="preserve"> - </v>
      </c>
      <c r="BK21" s="574"/>
      <c r="BL21" s="558">
        <f>IF(ISNUMBER(STDEV(BL8:BL18)),STDEV(BL8:BL18),"-")</f>
        <v>0.99326288006928243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gE/o/WV1g2B1B7OV3MENcizzhBvrkagZxmc5R/YDKRJ+7tgGck5J8Mp1n0WKMcxADLfTo7fHbvb/WOPrEWHA==" saltValue="E3XOCcLolawMVMaffF6C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MONFORTE DE LEMOS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158</v>
      </c>
      <c r="AA12" s="331" t="str">
        <f>IF(ISNUMBER(IF(J_V="SI",Datos!L12,Datos!L12+Datos!AB12)-IF(Monitorios="SI",Datos!CD12,0)),
                          IF(J_V="SI",Datos!L12,Datos!L12+Datos!AB12)-IF(Monitorios="SI",Datos!CD12,0),
                          " - ")</f>
        <v xml:space="preserve"> - </v>
      </c>
      <c r="AB12" s="333"/>
      <c r="AC12" s="333"/>
      <c r="AD12" s="483"/>
      <c r="AE12" s="483">
        <f>IF(ISNUMBER(Datos!R12),Datos!R12," - ")</f>
        <v>1296</v>
      </c>
      <c r="AF12" s="228" t="str">
        <f>IF(ISNUMBER(Datos!BV12),Datos!BV12," - ")</f>
        <v xml:space="preserve"> - </v>
      </c>
      <c r="AG12" s="224" t="str">
        <f>IF(ISNUMBER(Datos!DV12),Datos!DV12," - ")</f>
        <v xml:space="preserve"> - </v>
      </c>
      <c r="AH12" s="297"/>
      <c r="AI12" s="226"/>
      <c r="AJ12" s="224">
        <f>IF(ISNUMBER(Datos!M12),Datos!M12," - ")</f>
        <v>412</v>
      </c>
      <c r="AK12" s="228">
        <f>IF(ISNUMBER(Datos!N12),Datos!N12," - ")</f>
        <v>433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14.631305637982196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0.14588859416445624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323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158</v>
      </c>
      <c r="AA13" s="899">
        <f t="shared" si="2"/>
        <v>30</v>
      </c>
      <c r="AB13" s="899">
        <f t="shared" si="2"/>
        <v>0</v>
      </c>
      <c r="AC13" s="899">
        <f t="shared" si="2"/>
        <v>0</v>
      </c>
      <c r="AD13" s="899">
        <f t="shared" si="2"/>
        <v>0</v>
      </c>
      <c r="AE13" s="899">
        <f t="shared" si="2"/>
        <v>1297</v>
      </c>
      <c r="AF13" s="907">
        <f t="shared" si="2"/>
        <v>0</v>
      </c>
      <c r="AG13" s="907">
        <f t="shared" si="2"/>
        <v>0</v>
      </c>
      <c r="AH13" s="907">
        <f t="shared" si="2"/>
        <v>0</v>
      </c>
      <c r="AI13" s="907">
        <f t="shared" si="2"/>
        <v>0</v>
      </c>
      <c r="AJ13" s="907">
        <f t="shared" si="2"/>
        <v>412</v>
      </c>
      <c r="AK13" s="907">
        <f t="shared" si="2"/>
        <v>433</v>
      </c>
      <c r="AL13" s="907">
        <f t="shared" si="2"/>
        <v>0</v>
      </c>
      <c r="AM13" s="907">
        <f t="shared" si="2"/>
        <v>0</v>
      </c>
      <c r="AN13" s="907">
        <f t="shared" si="2"/>
        <v>0</v>
      </c>
      <c r="AO13" s="903">
        <f>IF(ISNUMBER(((NºAsuntos!I13/NºAsuntos!G13)*11)/factor_trimestre),((NºAsuntos!I13/NºAsuntos!G13)*11)/factor_trimestre," - ")</f>
        <v>14.876112759643917</v>
      </c>
      <c r="AP13" s="909" t="str">
        <f>IF(ISNUMBER(Datos!CI13/Datos!CJ13),Datos!CI13/Datos!CJ13," - ")</f>
        <v xml:space="preserve"> - </v>
      </c>
      <c r="AQ13" s="927">
        <f t="shared" ref="AQ13:AV13" si="3">SUBTOTAL(9,AQ9:AQ12)</f>
        <v>0</v>
      </c>
      <c r="AR13" s="927">
        <f t="shared" si="3"/>
        <v>0.14588859416445624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939</v>
      </c>
      <c r="G16" s="224">
        <f>IF(ISNUMBER(IF(D_I="SI",Datos!I16,Datos!I16+Datos!AC16)),IF(D_I="SI",Datos!I16,Datos!I16+Datos!AC16)," - ")</f>
        <v>939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1141</v>
      </c>
      <c r="Z16" s="618">
        <f>IF(ISNUMBER(Datos!Q16),Datos!Q16," - ")</f>
        <v>11</v>
      </c>
      <c r="AA16" s="331">
        <f>IF(ISNUMBER(IF(D_I="SI",Datos!L16,Datos!L16+Datos!AF16)),IF(D_I="SI",Datos!L16,Datos!L16+Datos!AF16)," - ")</f>
        <v>1062</v>
      </c>
      <c r="AB16" s="333"/>
      <c r="AC16" s="333"/>
      <c r="AD16" s="483"/>
      <c r="AE16" s="483">
        <f>IF(ISNUMBER(Datos!R16),Datos!R16," - ")</f>
        <v>80</v>
      </c>
      <c r="AF16" s="228" t="str">
        <f>IF(ISNUMBER(Datos!BV16),Datos!BV16," - ")</f>
        <v xml:space="preserve"> - </v>
      </c>
      <c r="AG16" s="224"/>
      <c r="AH16" s="297"/>
      <c r="AI16" s="226"/>
      <c r="AJ16" s="224">
        <f>IF(ISNUMBER(Datos!M16),Datos!M16," - ")</f>
        <v>121</v>
      </c>
      <c r="AK16" s="228">
        <f>IF(ISNUMBER(Datos!N16),Datos!N16," - ")</f>
        <v>652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10.238387379491673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178</v>
      </c>
      <c r="Z17" s="618">
        <f>IF(ISNUMBER(Datos!Q17),Datos!Q17," - ")</f>
        <v>0</v>
      </c>
      <c r="AA17" s="331">
        <f>IF(ISNUMBER(Datos!L17),Datos!L17,"-")</f>
        <v>96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5.9325842696629216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939</v>
      </c>
      <c r="G18" s="897">
        <f>SUBTOTAL(9,G15:G17)</f>
        <v>1057</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1319</v>
      </c>
      <c r="Z18" s="931">
        <f t="shared" si="5"/>
        <v>11</v>
      </c>
      <c r="AA18" s="931">
        <f t="shared" si="5"/>
        <v>1158</v>
      </c>
      <c r="AB18" s="931">
        <f t="shared" si="5"/>
        <v>0</v>
      </c>
      <c r="AC18" s="931">
        <f t="shared" si="5"/>
        <v>0</v>
      </c>
      <c r="AD18" s="931">
        <f t="shared" si="5"/>
        <v>0</v>
      </c>
      <c r="AE18" s="931">
        <f t="shared" si="5"/>
        <v>81</v>
      </c>
      <c r="AF18" s="931">
        <f t="shared" si="5"/>
        <v>0</v>
      </c>
      <c r="AG18" s="931">
        <f t="shared" si="5"/>
        <v>0</v>
      </c>
      <c r="AH18" s="931">
        <f t="shared" si="5"/>
        <v>0</v>
      </c>
      <c r="AI18" s="931">
        <f t="shared" si="5"/>
        <v>0</v>
      </c>
      <c r="AJ18" s="931">
        <f t="shared" si="5"/>
        <v>127</v>
      </c>
      <c r="AK18" s="931">
        <f t="shared" si="5"/>
        <v>751</v>
      </c>
      <c r="AL18" s="931">
        <f t="shared" si="5"/>
        <v>0</v>
      </c>
      <c r="AM18" s="931">
        <f t="shared" si="5"/>
        <v>0</v>
      </c>
      <c r="AN18" s="931">
        <f t="shared" si="5"/>
        <v>0</v>
      </c>
      <c r="AO18" s="933">
        <f>IF(ISNUMBER(((NºAsuntos!I18/NºAsuntos!G18)*11)/factor_trimestre),((NºAsuntos!I18/NºAsuntos!G18)*11)/factor_trimestre," - ")</f>
        <v>9.6573161485974222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956</v>
      </c>
      <c r="G19" s="819">
        <f t="shared" si="7"/>
        <v>1074</v>
      </c>
      <c r="H19" s="820">
        <f t="shared" si="7"/>
        <v>0</v>
      </c>
      <c r="I19" s="819">
        <f t="shared" si="7"/>
        <v>0</v>
      </c>
      <c r="J19" s="821">
        <f t="shared" si="7"/>
        <v>0</v>
      </c>
      <c r="K19" s="819">
        <f t="shared" si="7"/>
        <v>0</v>
      </c>
      <c r="L19" s="822">
        <f t="shared" si="7"/>
        <v>0</v>
      </c>
      <c r="M19" s="819">
        <f t="shared" si="7"/>
        <v>0</v>
      </c>
      <c r="N19" s="820">
        <f t="shared" si="7"/>
        <v>350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1319</v>
      </c>
      <c r="Z19" s="826">
        <f t="shared" si="8"/>
        <v>169</v>
      </c>
      <c r="AA19" s="827">
        <f t="shared" si="8"/>
        <v>1188</v>
      </c>
      <c r="AB19" s="827">
        <f t="shared" si="8"/>
        <v>0</v>
      </c>
      <c r="AC19" s="827">
        <f t="shared" si="8"/>
        <v>0</v>
      </c>
      <c r="AD19" s="828">
        <f t="shared" si="8"/>
        <v>0</v>
      </c>
      <c r="AE19" s="828">
        <f t="shared" si="8"/>
        <v>1378</v>
      </c>
      <c r="AF19" s="829">
        <f t="shared" si="8"/>
        <v>0</v>
      </c>
      <c r="AG19" s="830">
        <f t="shared" si="8"/>
        <v>0</v>
      </c>
      <c r="AH19" s="831">
        <f t="shared" si="8"/>
        <v>0</v>
      </c>
      <c r="AI19" s="829">
        <f t="shared" si="8"/>
        <v>0</v>
      </c>
      <c r="AJ19" s="819">
        <f t="shared" si="8"/>
        <v>539</v>
      </c>
      <c r="AK19" s="819">
        <f t="shared" si="8"/>
        <v>1184</v>
      </c>
      <c r="AL19" s="819">
        <f t="shared" si="8"/>
        <v>0</v>
      </c>
      <c r="AM19" s="832">
        <f t="shared" si="8"/>
        <v>0</v>
      </c>
      <c r="AN19" s="822">
        <f>IF(ISNUMBER(Datos!K19/Datos!J19),Datos!K19/Datos!J19," - ")</f>
        <v>0.93486590038314177</v>
      </c>
      <c r="AO19" s="822">
        <f>IF(ISNUMBER(FIND("06",Criterios!A8,1)),(IF(ISNUMBER(((Datos!R19/Datos!Q19)*11)/factor_trimestre),((Datos!R19/Datos!Q19)*11)/factor_trimestre," - ")),(IF(ISNUMBER(((Datos!L19/Datos!K19)*11)/factor_trimestre),((Datos!L19/Datos!K19)*11)/factor_trimestre," - ")))</f>
        <v>12.830327868852459</v>
      </c>
      <c r="AP19" s="833" t="str">
        <f>IF(ISNUMBER(Datos!CI19/Datos!CJ19),Datos!CI19/Datos!CJ19," - ")</f>
        <v xml:space="preserve"> - </v>
      </c>
      <c r="AQ19" s="833">
        <f>IF(OR(ISNUMBER(FIND("01",Criterios!A8,1)),ISNUMBER(FIND("02",Criterios!A8,1)),ISNUMBER(FIND("03",Criterios!A8,1)),ISNUMBER(FIND("04",Criterios!A8,1))),(J19-Y19+K19)/(F19-K19),(I19-Y19+K19)/(F19-K19))</f>
        <v>-1.3797071129707112</v>
      </c>
      <c r="AR19" s="833">
        <f>IF(ISNUMBER((Datos!P19-Datos!Q19+O19)/(Datos!R19-Datos!P19+Datos!Q19-O19)),(Datos!P19-Datos!Q19+O19)/(Datos!R19-Datos!P19+Datos!Q19-O19)," - ")</f>
        <v>0.15121136173767752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532.31694819283496</v>
      </c>
      <c r="G21" s="551">
        <f>IF(ISNUMBER(STDEV(G8:G18)),STDEV(G8:G18),"-")</f>
        <v>522.18081159690269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187.943253847183</v>
      </c>
      <c r="AK21" s="251"/>
      <c r="AL21" s="251">
        <f>IF(ISNUMBER(STDEV(AL8:AL18)),STDEV(AL8:AL18),"-")</f>
        <v>0</v>
      </c>
      <c r="AM21" s="253">
        <f>IF(ISNUMBER(STDEV(AM8:AM18)),STDEV(AM8:AM18),"-")</f>
        <v>0</v>
      </c>
      <c r="AN21" s="538">
        <f>IF(ISNUMBER(STDEV(AN8:AN18)),STDEV(AN8:AN18),"-")</f>
        <v>0</v>
      </c>
      <c r="AO21" s="539">
        <f>IF(ISNUMBER(STDEV(AO8:AO18)),STDEV(AO8:AO18),"-")</f>
        <v>3.7499882308013697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0eUFdvx5OAdhaLE/v21V4vaf6px0MwaNv+UkTULQ0oWfMHKbo5QgrnOlDsGO3AGfDMGybaPbKE0qowrvWYU52Q==" saltValue="26OZ2yh+y7fGmrhfzqjK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bi3P/9en2o+XT1ce0aMQo1qRRowKOlHAOw5ZH86i8V20ETWTwqpwnmucaDzTzdXr8we2mvbxfHYT8JLXACExg==" saltValue="zc6WvwK0/YSkXKvnTW/k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9NaxBHGjeduq+AleUu7nJ2Gsz+PsTCKM+n67ol3rWa6xIO7Pn3qMFWel9mXLVmQ5PLUa9/CED0oG4kO7p7XQQ==" saltValue="HZ55YUM1lr43LqXLx+FD9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MONFORTE DE LEMOS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0.3056379821958457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0.21611868979885576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1y9lSqGWlNKy433Ba81tZ0TYj5hSbWdhgDzAqkxyz1s0dA10tswHk9DoqXEecA8j0ST4kOYeOFpWoEGvkLS+Q==" saltValue="3EINkdx1S2nT6vNfe+AD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obesLcLC8fdXdtU4v2BKt8PXtPESB6m3uKLorPSsF3WkpI/1hrKCz5dR6b2TJ7R/kqhaIBpkgJ7UEBPtN0qRw==" saltValue="FRHLahVQysglYgu1yA9c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MONFORTE DE LEMOS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13</v>
      </c>
      <c r="F10" s="403">
        <f>IF(ISNUMBER(E10/B10),E10/B10," - ")</f>
        <v>13</v>
      </c>
      <c r="G10" s="402">
        <f>IF(ISNUMBER(Datos!K10),Datos!K10," - ")</f>
        <v>0</v>
      </c>
      <c r="H10" s="403">
        <f>IF(ISNUMBER(G10/B10),G10/B10," - ")</f>
        <v>0</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1740</v>
      </c>
      <c r="D12" s="403">
        <f>IF(ISNUMBER(C12/Datos!BH12),C12/Datos!BH12," - ")</f>
        <v>870</v>
      </c>
      <c r="E12" s="402">
        <f>IF(ISNUMBER(IF(J_V="SI",Datos!J12,Datos!J12+Datos!Z12)),IF(J_V="SI",Datos!J12,Datos!J12+Datos!Z12)," - ")</f>
        <v>1395</v>
      </c>
      <c r="F12" s="403">
        <f>IF(ISNUMBER(E12/B12),E12/B12," - ")</f>
        <v>697.5</v>
      </c>
      <c r="G12" s="402">
        <f>IF(ISNUMBER(IF(J_V="SI",Datos!K12,Datos!K12+Datos!AA12)),IF(J_V="SI",Datos!K12,Datos!K12+Datos!AA12)," - ")</f>
        <v>1348</v>
      </c>
      <c r="H12" s="403">
        <f>IF(ISNUMBER(G12/B12),G12/B12," - ")</f>
        <v>674</v>
      </c>
      <c r="I12" s="402">
        <f>IF(ISNUMBER(IF(J_V="SI",Datos!L12,Datos!L12+Datos!AB12)),IF(J_V="SI",Datos!L12,Datos!L12+Datos!AB12)," - ")</f>
        <v>1793</v>
      </c>
      <c r="J12" s="403">
        <f>IF(ISNUMBER(I12/B12),I12/B12," - ")</f>
        <v>896.5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1757</v>
      </c>
      <c r="D13" s="849" t="str">
        <f>IF(ISNUMBER(C13/Datos!BI13),C13/Datos!BI13," - ")</f>
        <v xml:space="preserve"> - </v>
      </c>
      <c r="E13" s="848">
        <f>SUBTOTAL(9,E8:E12)</f>
        <v>1408</v>
      </c>
      <c r="F13" s="849">
        <f>IF(ISNUMBER(E13/B13),E13/B13," - ")</f>
        <v>704</v>
      </c>
      <c r="G13" s="848">
        <f>SUBTOTAL(9,G8:G12)</f>
        <v>1348</v>
      </c>
      <c r="H13" s="849">
        <f>IF(ISNUMBER(G13/B13),G13/B13," - ")</f>
        <v>674</v>
      </c>
      <c r="I13" s="848">
        <f>SUBTOTAL(9,I8:I12)</f>
        <v>1823</v>
      </c>
      <c r="J13" s="849">
        <f>IF(ISNUMBER(I13/B13),I13/B13," - ")</f>
        <v>911.5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939</v>
      </c>
      <c r="D16" s="403">
        <f>IF(ISNUMBER(C16/Datos!BH16),C16/Datos!BH16," - ")</f>
        <v>469.5</v>
      </c>
      <c r="E16" s="402">
        <f>IF(ISNUMBER(IF(D_I="SI",Datos!J16,Datos!J16+Datos!AD16)),IF(D_I="SI",Datos!J16,Datos!J16+Datos!AD16)," - ")</f>
        <v>1264</v>
      </c>
      <c r="F16" s="403">
        <f>IF(ISNUMBER(E16/B16),E16/B16," - ")</f>
        <v>632</v>
      </c>
      <c r="G16" s="402">
        <f>IF(ISNUMBER(IF(D_I="SI",Datos!K16,Datos!K16+Datos!AE16)),IF(D_I="SI",Datos!K16,Datos!K16+Datos!AE16)," - ")</f>
        <v>1141</v>
      </c>
      <c r="H16" s="403">
        <f>IF(ISNUMBER(G16/B16),G16/B16," - ")</f>
        <v>570.5</v>
      </c>
      <c r="I16" s="402">
        <f>IF(ISNUMBER(IF(D_I="SI",Datos!L16,Datos!L16+Datos!AF16)),IF(D_I="SI",Datos!L16,Datos!L16+Datos!AF16)," - ")</f>
        <v>1062</v>
      </c>
      <c r="J16" s="403">
        <f>IF(ISNUMBER(I16/B16),I16/B16," - ")</f>
        <v>531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118</v>
      </c>
      <c r="D17" s="403">
        <f>IF(ISNUMBER(C17/Datos!BH17),C17/Datos!BH17," - ")</f>
        <v>118</v>
      </c>
      <c r="E17" s="402">
        <f>IF(ISNUMBER(IF(D_I="SI",Datos!J17,Datos!J17+Datos!AD17)),IF(D_I="SI",Datos!J17,Datos!J17+Datos!AD17)," - ")</f>
        <v>156</v>
      </c>
      <c r="F17" s="403">
        <f>IF(ISNUMBER(E17/B17),E17/B17," - ")</f>
        <v>156</v>
      </c>
      <c r="G17" s="402">
        <f>IF(ISNUMBER(IF(D_I="SI",Datos!K17,Datos!K17+Datos!AE17)),IF(D_I="SI",Datos!K17,Datos!K17+Datos!AE17)," - ")</f>
        <v>178</v>
      </c>
      <c r="H17" s="403">
        <f>IF(ISNUMBER(G17/B17),G17/B17," - ")</f>
        <v>178</v>
      </c>
      <c r="I17" s="402">
        <f>IF(ISNUMBER(IF(D_I="SI",Datos!L17,Datos!L17+Datos!AF17)),IF(D_I="SI",Datos!L17,Datos!L17+Datos!AF17)," - ")</f>
        <v>96</v>
      </c>
      <c r="J17" s="403">
        <f>IF(ISNUMBER(I17/B17),I17/B17," - ")</f>
        <v>96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1057</v>
      </c>
      <c r="D18" s="849" t="str">
        <f>IF(ISNUMBER(C18/Datos!BI18),C18/Datos!BI18," - ")</f>
        <v xml:space="preserve"> - </v>
      </c>
      <c r="E18" s="848">
        <f>SUBTOTAL(9,E14:E17)</f>
        <v>1420</v>
      </c>
      <c r="F18" s="849">
        <f>IF(ISNUMBER(E18/B18),E18/B18," - ")</f>
        <v>710</v>
      </c>
      <c r="G18" s="848">
        <f>SUBTOTAL(9,G14:G17)</f>
        <v>1319</v>
      </c>
      <c r="H18" s="849">
        <f>IF(ISNUMBER(G18/B18),G18/B18," - ")</f>
        <v>659.5</v>
      </c>
      <c r="I18" s="848">
        <f>SUBTOTAL(9,I14:I17)</f>
        <v>1158</v>
      </c>
      <c r="J18" s="849">
        <f>IF(ISNUMBER(I18/B18),I18/B18," - ")</f>
        <v>579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2814</v>
      </c>
      <c r="D19" s="794" t="str">
        <f>IF(ISNUMBER(C19/Datos!BI19),C19/Datos!BI19," - ")</f>
        <v xml:space="preserve"> - </v>
      </c>
      <c r="E19" s="793">
        <f>SUBTOTAL(9,E9:E18)</f>
        <v>2828</v>
      </c>
      <c r="F19" s="794">
        <f>IF(ISNUMBER(E19/B19),E19/B19," - ")</f>
        <v>1414</v>
      </c>
      <c r="G19" s="793">
        <f>SUBTOTAL(9,G9:G18)</f>
        <v>2667</v>
      </c>
      <c r="H19" s="794">
        <f>IF(ISNUMBER(G19/B19),G19/B19," - ")</f>
        <v>1333.5</v>
      </c>
      <c r="I19" s="793">
        <f>SUBTOTAL(9,I9:I18)</f>
        <v>2981</v>
      </c>
      <c r="J19" s="794">
        <f>IF(ISNUMBER(I19/B19),I19/B19," - ")</f>
        <v>1490.5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5LjYIZtIszDrz6P696nN36ax2lPBMDZmxCZFra1WahcstFmeev+lAO9+F1/ymJcM7WdycPQGpC0cITy65/MXg==" saltValue="qmbK4L365zkT0twTFDKZ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MONFORTE DE LEMOS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412</v>
      </c>
      <c r="AM12" s="689">
        <f>IF(ISNUMBER(Datos!N12+DatosP!N16),Datos!N12+DatosP!N16," - ")</f>
        <v>433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14.631305637982196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0.14588859416445624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323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158</v>
      </c>
      <c r="AE13" s="938">
        <f t="shared" si="1"/>
        <v>0</v>
      </c>
      <c r="AF13" s="938">
        <f t="shared" si="1"/>
        <v>30</v>
      </c>
      <c r="AG13" s="938">
        <f t="shared" si="1"/>
        <v>0</v>
      </c>
      <c r="AH13" s="938">
        <f t="shared" si="1"/>
        <v>1296</v>
      </c>
      <c r="AI13" s="938">
        <f t="shared" si="1"/>
        <v>0</v>
      </c>
      <c r="AJ13" s="938">
        <f t="shared" si="1"/>
        <v>0</v>
      </c>
      <c r="AK13" s="938">
        <f t="shared" si="1"/>
        <v>0</v>
      </c>
      <c r="AL13" s="938">
        <f t="shared" si="1"/>
        <v>412</v>
      </c>
      <c r="AM13" s="938">
        <f t="shared" si="1"/>
        <v>433</v>
      </c>
      <c r="AN13" s="938">
        <f t="shared" si="1"/>
        <v>0</v>
      </c>
      <c r="AO13" s="938">
        <f t="shared" si="1"/>
        <v>0</v>
      </c>
      <c r="AP13" s="943">
        <f>IF(ISNUMBER(((Datos!L13/Datos!K13)*11)/factor_trimestre),((Datos!L13/Datos!K13)*11)/factor_trimestre," - ")</f>
        <v>16.56378233719893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0.14588859416445624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9.6573161485974222</v>
      </c>
      <c r="AQ18" s="943">
        <f>IF(ISNUMBER(((Datos!M18/Datos!L18)*11)/factor_trimestre),((Datos!M18/Datos!L18)*11)/factor_trimestre," - ")</f>
        <v>1.2063903281519861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0.24615384615384617</v>
      </c>
      <c r="AW18" s="945">
        <f>IF(ISNUMBER((Datos!Q18-Datos!R18)/(Datos!S18-Datos!Q18+Datos!R18)),(Datos!Q18-Datos!R18)/(Datos!S18-Datos!Q18+Datos!R18)," - ")</f>
        <v>-6.5666041275797379E-2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323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158</v>
      </c>
      <c r="AE19" s="956">
        <f t="shared" si="5"/>
        <v>0</v>
      </c>
      <c r="AF19" s="957">
        <f t="shared" si="5"/>
        <v>30</v>
      </c>
      <c r="AG19" s="957">
        <f t="shared" si="5"/>
        <v>0</v>
      </c>
      <c r="AH19" s="957">
        <f t="shared" si="5"/>
        <v>1296</v>
      </c>
      <c r="AI19" s="957">
        <f t="shared" si="5"/>
        <v>0</v>
      </c>
      <c r="AJ19" s="958">
        <f t="shared" si="5"/>
        <v>0</v>
      </c>
      <c r="AK19" s="958">
        <f t="shared" si="5"/>
        <v>0</v>
      </c>
      <c r="AL19" s="950">
        <f t="shared" si="5"/>
        <v>412</v>
      </c>
      <c r="AM19" s="950">
        <f t="shared" si="5"/>
        <v>433</v>
      </c>
      <c r="AN19" s="950">
        <f t="shared" si="5"/>
        <v>0</v>
      </c>
      <c r="AO19" s="950">
        <f t="shared" si="5"/>
        <v>0</v>
      </c>
      <c r="AP19" s="950">
        <f>IF(ISNUMBER(((Datos!L19/Datos!K19)*11)/factor_trimestre),((Datos!L19/Datos!K19)*11)/factor_trimestre," - ")</f>
        <v>12.830327868852459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0.15121136173767752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237.86831090612583</v>
      </c>
      <c r="AM21" s="735"/>
      <c r="AN21" s="735">
        <f>IF(ISNUMBER(STDEV(AN8:AN18)),STDEV(AN8:AN18),"-")</f>
        <v>0</v>
      </c>
      <c r="AO21" s="741">
        <f>IF(ISNUMBER(STDEV(AO8:AO18)),STDEV(AO8:AO18),"-")</f>
        <v>0</v>
      </c>
      <c r="AP21" s="778">
        <f>IF(ISNUMBER(STDEV(AP8:AP18)),STDEV(AP8:AP18),"-")</f>
        <v>3.5631052198847919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wS041rXlXPBbWmp5yUHdLxwFDKod/GCW7tvOlwRm33O7bBIBjyi4DbPes5EjvjmvW6MA7RYYnNPKPTP5N0uw==" saltValue="jV+MTbmmXBI/WpOUb9u+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MONFORTE DE LEMOS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97NTzJu7QTZBmw8/YQkRW4TiLbpYAP8vz8iZdSX8CGaX6tNKpUehMjRbXhPyjWpVJHsDn9ZLtBLWsjYeHcuZyA==" saltValue="PF82rPKG22hKfRMlIDnH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MONFORTE DE LEMOS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412</v>
      </c>
      <c r="E12" s="403">
        <f t="shared" si="0"/>
        <v>206</v>
      </c>
      <c r="F12" s="402">
        <f>IF(ISNUMBER(Datos!N12),Datos!N12," - ")</f>
        <v>433</v>
      </c>
      <c r="G12" s="403">
        <f t="shared" si="1"/>
        <v>216.5</v>
      </c>
      <c r="H12" s="402">
        <f>IF(ISNUMBER(Datos!O12),Datos!O12," - ")</f>
        <v>578</v>
      </c>
      <c r="I12" s="403">
        <f t="shared" si="2"/>
        <v>289</v>
      </c>
      <c r="BZ12" s="1185">
        <f>Datos!EZ12</f>
        <v>0</v>
      </c>
    </row>
    <row r="13" spans="1:78" ht="14.25" thickTop="1" thickBot="1">
      <c r="A13" s="847" t="str">
        <f>Datos!A13</f>
        <v>TOTAL</v>
      </c>
      <c r="B13" s="848">
        <f>Datos!AP13</f>
        <v>2</v>
      </c>
      <c r="C13" s="850">
        <f>Datos!AR13</f>
        <v>2</v>
      </c>
      <c r="D13" s="848">
        <f>SUBTOTAL(9,D9:D12)</f>
        <v>412</v>
      </c>
      <c r="E13" s="849">
        <f t="shared" si="0"/>
        <v>206</v>
      </c>
      <c r="F13" s="848">
        <f>SUBTOTAL(9,F9:F12)</f>
        <v>433</v>
      </c>
      <c r="G13" s="849">
        <f t="shared" si="1"/>
        <v>216.5</v>
      </c>
      <c r="H13" s="848">
        <f>SUBTOTAL(9,H9:H12)</f>
        <v>578</v>
      </c>
      <c r="I13" s="849">
        <f>IF(ISNUMBER(H13/B13),H13/B13," - ")</f>
        <v>289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121</v>
      </c>
      <c r="E16" s="403">
        <f t="shared" si="3"/>
        <v>60.5</v>
      </c>
      <c r="F16" s="402">
        <f>IF(ISNUMBER(Datos!N16),Datos!N16," - ")</f>
        <v>652</v>
      </c>
      <c r="G16" s="403">
        <f t="shared" si="4"/>
        <v>326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99</v>
      </c>
      <c r="G17" s="403">
        <f>IF(ISNUMBER(F17/B17),F17/B17," - ")</f>
        <v>99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127</v>
      </c>
      <c r="E18" s="849">
        <f t="shared" si="3"/>
        <v>63.5</v>
      </c>
      <c r="F18" s="848">
        <f>SUBTOTAL(9,F15:F17)</f>
        <v>751</v>
      </c>
      <c r="G18" s="849">
        <f t="shared" si="4"/>
        <v>375.5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539</v>
      </c>
      <c r="E19" s="794">
        <f>IF(ISNUMBER(D19/B19),D19/B19," - ")</f>
        <v>269.5</v>
      </c>
      <c r="F19" s="793">
        <f>SUBTOTAL(9,F8:F18)</f>
        <v>1184</v>
      </c>
      <c r="G19" s="794">
        <f>IF(ISNUMBER(F19/B19),F19/B19," - ")</f>
        <v>592</v>
      </c>
      <c r="H19" s="793">
        <f>SUBTOTAL(9,H8:H18)</f>
        <v>578</v>
      </c>
      <c r="I19" s="794">
        <f>IF(ISNUMBER(H19/B19),H19/B19," - ")</f>
        <v>289</v>
      </c>
    </row>
    <row r="22" spans="1:78">
      <c r="A22" s="390" t="str">
        <f>Criterios!A4</f>
        <v>Fecha Informe: 18 mar. 2026</v>
      </c>
    </row>
    <row r="27" spans="1:78">
      <c r="A27" s="413"/>
    </row>
  </sheetData>
  <sheetProtection algorithmName="SHA-512" hashValue="nYgloD9u1R1nRQQDSN+0CCRr65LxJAjUg4pUP8RdGGWmMDYcHoDlD6hMwoWfZBKPB3D4XRNcO4l6g4vAEnl70g==" saltValue="vijX8zvzWM1ydhk5hEe5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MONFORTE DE LEMOS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323</v>
      </c>
      <c r="C12" s="433">
        <f>IF(ISNUMBER(Datos!Q12),Datos!Q12," - ")</f>
        <v>158</v>
      </c>
      <c r="D12" s="407">
        <f>IF(ISNUMBER(Datos!R12),Datos!R12," - ")</f>
        <v>1296</v>
      </c>
    </row>
    <row r="13" spans="1:4" ht="14.25" thickTop="1" thickBot="1">
      <c r="A13" s="847" t="str">
        <f>Datos!A13</f>
        <v>TOTAL</v>
      </c>
      <c r="B13" s="848">
        <f>SUBTOTAL(9,B9:B12)</f>
        <v>323</v>
      </c>
      <c r="C13" s="852">
        <f>SUBTOTAL(9,C9:C12)</f>
        <v>158</v>
      </c>
      <c r="D13" s="850">
        <f>SUBTOTAL(9,D9:D12)</f>
        <v>1297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11</v>
      </c>
      <c r="D16" s="407">
        <f>IF(ISNUMBER(Datos!R16),Datos!R16," - ")</f>
        <v>80</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27</v>
      </c>
      <c r="C18" s="852">
        <f>SUBTOTAL(9,C15:C17)</f>
        <v>11</v>
      </c>
      <c r="D18" s="850">
        <f>SUBTOTAL(9,D15:D17)</f>
        <v>81</v>
      </c>
    </row>
    <row r="19" spans="1:4" ht="16.5" customHeight="1" thickTop="1" thickBot="1">
      <c r="A19" s="792" t="str">
        <f>Datos!A19</f>
        <v>TOTAL JURISDICCIONES</v>
      </c>
      <c r="B19" s="797">
        <f>SUBTOTAL(9,B8:B18)</f>
        <v>350</v>
      </c>
      <c r="C19" s="798">
        <f>SUBTOTAL(9,C8:C18)</f>
        <v>169</v>
      </c>
      <c r="D19" s="799">
        <f>SUBTOTAL(9,D8:D18)</f>
        <v>1378</v>
      </c>
    </row>
    <row r="20" spans="1:4" ht="7.5" customHeight="1"/>
    <row r="21" spans="1:4" ht="6" customHeight="1"/>
    <row r="22" spans="1:4">
      <c r="A22" s="390" t="str">
        <f>Criterios!A4</f>
        <v>Fecha Informe: 18 mar. 2026</v>
      </c>
    </row>
    <row r="27" spans="1:4">
      <c r="A27" s="413"/>
    </row>
  </sheetData>
  <sheetProtection algorithmName="SHA-512" hashValue="xMQYxyTSgz3AIQfx/XssrI4Xu2I3H+xh8/pLYfT0ph2wkC4bOOlb1WCgJDn+qucEvFjJlL16y57DdEb1p+lBSQ==" saltValue="j4T29blEHhlXnJmN3dDx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MONFORTE DE LEMOS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4.666666666666667</v>
      </c>
      <c r="C10" s="455">
        <f>IF(ISNUMBER((Datos!J10-Datos!T10)/Datos!T10),(Datos!J10-Datos!T10)/Datos!T10," - ")</f>
        <v>-0.23529411764705882</v>
      </c>
      <c r="D10" s="455" t="str">
        <f>IF(ISNUMBER((Datos!K10-Datos!U10)/Datos!U10),(Datos!K10-Datos!U10)/Datos!U10," - ")</f>
        <v xml:space="preserve"> - </v>
      </c>
      <c r="E10" s="455">
        <f>IF(ISNUMBER((Datos!L10-Datos!V10)/Datos!V10),(Datos!L10-Datos!V10)/Datos!V10," - ")</f>
        <v>0.76470588235294112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0.4192495921696574</v>
      </c>
      <c r="C12" s="455">
        <f>IF(ISNUMBER(
   IF(J_V="SI",(Datos!J12-Datos!T12)/Datos!T12,(Datos!J12+Datos!Z12-(Datos!T12+Datos!AH12))/(Datos!T12+Datos!AH12))
     ),IF(J_V="SI",(Datos!J12-Datos!T12)/Datos!T12,(Datos!J12+Datos!Z12-(Datos!T12+Datos!AH12))/(Datos!T12+Datos!AH12))," - ")</f>
        <v>-0.26190476190476192</v>
      </c>
      <c r="D12" s="455">
        <f>IF(ISNUMBER(
   IF(J_V="SI",(Datos!K12-Datos!U12)/Datos!U12,(Datos!K12+Datos!AA12-(Datos!U12+Datos!AI12))/(Datos!U12+Datos!AI12))
     ),IF(J_V="SI",(Datos!K12-Datos!U12)/Datos!U12,(Datos!K12+Datos!AA12-(Datos!U12+Datos!AI12))/(Datos!U12+Datos!AI12))," - ")</f>
        <v>0.15907136715391229</v>
      </c>
      <c r="E12" s="455">
        <f>IF(ISNUMBER(
   IF(J_V="SI",(Datos!L12-Datos!V12)/Datos!V12,(Datos!L12+Datos!AB12-(Datos!V12+Datos!AJ12))/(Datos!V12+Datos!AJ12))
     ),IF(J_V="SI",(Datos!L12-Datos!V12)/Datos!V12,(Datos!L12+Datos!AB12-(Datos!V12+Datos!AJ12))/(Datos!V12+Datos!AJ12))," - ")</f>
        <v>3.0459770114942528E-2</v>
      </c>
      <c r="F12" s="455">
        <f>IF(ISNUMBER((Datos!M12-Datos!W12)/Datos!W12),(Datos!M12-Datos!W12)/Datos!W12," - ")</f>
        <v>0.39661016949152544</v>
      </c>
      <c r="G12" s="456">
        <f>IF(ISNUMBER((Datos!N12-Datos!X12)/Datos!X12),(Datos!N12-Datos!X12)/Datos!X12," - ")</f>
        <v>0.1928374655647383</v>
      </c>
      <c r="H12" s="454">
        <f>IF(ISNUMBER(((NºAsuntos!G12/NºAsuntos!E12)-Datos!BD12)/Datos!BD12),((NºAsuntos!G12/NºAsuntos!E12)-Datos!BD12)/Datos!BD12," - ")</f>
        <v>0.57035475549884906</v>
      </c>
      <c r="I12" s="455">
        <f>IF(ISNUMBER(((NºAsuntos!I12/NºAsuntos!G12)-Datos!BE12)/Datos!BE12),((NºAsuntos!I12/NºAsuntos!G12)-Datos!BE12)/Datos!BE12," - ")</f>
        <v>-0.1109608956649272</v>
      </c>
      <c r="J12" s="460">
        <f>IF(ISNUMBER((('Resol  Asuntos'!D12/NºAsuntos!G12)-Datos!BF12)/Datos!BF12),(('Resol  Asuntos'!D12/NºAsuntos!G12)-Datos!BF12)/Datos!BF12," - ")</f>
        <v>-2.0779687895954319E-2</v>
      </c>
      <c r="K12" s="461">
        <f>IF(ISNUMBER((((NºAsuntos!C12+NºAsuntos!E12)/NºAsuntos!G12)-Datos!BG12)/Datos!BG12),(((NºAsuntos!C12+NºAsuntos!E12)/NºAsuntos!G12)-Datos!BG12)/Datos!BG12," - ")</f>
        <v>-0.13197962654700723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0.42961757526444266</v>
      </c>
      <c r="C13" s="854">
        <f>IF(ISNUMBER(
   IF(J_V="SI",(Datos!J13-Datos!T13)/Datos!T13,(Datos!J13+Datos!Z13-(Datos!T13+Datos!AH13))/(Datos!T13+Datos!AH13))
     ),IF(J_V="SI",(Datos!J13-Datos!T13)/Datos!T13,(Datos!J13+Datos!Z13-(Datos!T13+Datos!AH13))/(Datos!T13+Datos!AH13))," - ")</f>
        <v>-0.26166754063974829</v>
      </c>
      <c r="D13" s="854">
        <f>IF(ISNUMBER(
   IF(J_V="SI",(Datos!K13-Datos!U13)/Datos!U13,(Datos!K13+Datos!AA13-(Datos!U13+Datos!AI13))/(Datos!U13+Datos!AI13))
     ),IF(J_V="SI",(Datos!K13-Datos!U13)/Datos!U13,(Datos!K13+Datos!AA13-(Datos!U13+Datos!AI13))/(Datos!U13+Datos!AI13))," - ")</f>
        <v>0.15907136715391229</v>
      </c>
      <c r="E13" s="854">
        <f>IF(ISNUMBER(
   IF(J_V="SI",(Datos!L13-Datos!V13)/Datos!V13,(Datos!L13+Datos!AB13-(Datos!V13+Datos!AJ13))/(Datos!V13+Datos!AJ13))
     ),IF(J_V="SI",(Datos!L13-Datos!V13)/Datos!V13,(Datos!L13+Datos!AB13-(Datos!V13+Datos!AJ13))/(Datos!V13+Datos!AJ13))," - ")</f>
        <v>3.7564029595902104E-2</v>
      </c>
      <c r="F13" s="855">
        <f>IF(ISNUMBER((Datos!M13-Datos!W13)/Datos!W13),(Datos!M13-Datos!W13)/Datos!W13," - ")</f>
        <v>0.39661016949152544</v>
      </c>
      <c r="G13" s="856">
        <f>IF(ISNUMBER((Datos!N13-Datos!X13)/Datos!X13),(Datos!N13-Datos!X13)/Datos!X13," - ")</f>
        <v>0.1928374655647383</v>
      </c>
      <c r="H13" s="856">
        <f>IF(ISNUMBER(((NºAsuntos!G13/NºAsuntos!E13)-Datos!BD13)/Datos!BD13),((NºAsuntos!G13/NºAsuntos!E13)-Datos!BD13)/Datos!BD13," - ")</f>
        <v>0.56985021105291955</v>
      </c>
      <c r="I13" s="856">
        <f>IF(ISNUMBER(((NºAsuntos!I13/NºAsuntos!G13)-Datos!BE13)/Datos!BE13),((NºAsuntos!I13/NºAsuntos!G13)-Datos!BE13)/Datos!BE13," - ")</f>
        <v>-0.10483162728484106</v>
      </c>
      <c r="J13" s="856">
        <f>IF(ISNUMBER((('Resol  Asuntos'!D13/NºAsuntos!G13)-Datos!BF13)/Datos!BF13),(('Resol  Asuntos'!D13/NºAsuntos!G13)-Datos!BF13)/Datos!BF13," - ")</f>
        <v>-2.0779687895954319E-2</v>
      </c>
      <c r="K13" s="856">
        <f>IF(ISNUMBER((((NºAsuntos!C13+NºAsuntos!E13)/NºAsuntos!G13)-Datos!BG13)/Datos!BG13),(((NºAsuntos!C13+NºAsuntos!E13)/NºAsuntos!G13)-Datos!BG13)/Datos!BG13," - ")</f>
        <v>-0.12926203029431352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0.10861865407319952</v>
      </c>
      <c r="C16" s="455">
        <f>IF(ISNUMBER(
   IF(D_I="SI",(Datos!J16-Datos!T16)/Datos!T16,(Datos!J16+Datos!AD16-(Datos!T16+Datos!AL16))/(Datos!T16+Datos!AL16))
     ),IF(D_I="SI",(Datos!J16-Datos!T16)/Datos!T16,(Datos!J16+Datos!AD16-(Datos!T16+Datos!AL16))/(Datos!T16+Datos!AL16))," - ")</f>
        <v>0.18462980318650421</v>
      </c>
      <c r="D16" s="455">
        <f>IF(ISNUMBER(
   IF(D_I="SI",(Datos!K16-Datos!U16)/Datos!U16,(Datos!K16+Datos!AE16-(Datos!U16+Datos!AM16))/(Datos!U16+Datos!AM16))
     ),IF(D_I="SI",(Datos!K16-Datos!U16)/Datos!U16,(Datos!K16+Datos!AE16-(Datos!U16+Datos!AM16))/(Datos!U16+Datos!AM16))," - ")</f>
        <v>0.23618634886240519</v>
      </c>
      <c r="E16" s="455">
        <f>IF(ISNUMBER(
   IF(D_I="SI",(Datos!L16-Datos!V16)/Datos!V16,(Datos!L16+Datos!AF16-(Datos!V16+Datos!AN16))/(Datos!V16+Datos!AN16))
     ),IF(D_I="SI",(Datos!L16-Datos!V16)/Datos!V16,(Datos!L16+Datos!AF16-(Datos!V16+Datos!AN16))/(Datos!V16+Datos!AN16))," - ")</f>
        <v>0.13099041533546327</v>
      </c>
      <c r="F16" s="455">
        <f>IF(ISNUMBER((Datos!M16-Datos!W16)/Datos!W16),(Datos!M16-Datos!W16)/Datos!W16," - ")</f>
        <v>-0.1357142857142857</v>
      </c>
      <c r="G16" s="456">
        <f>IF(ISNUMBER((Datos!N16-Datos!X16)/Datos!X16),(Datos!N16-Datos!X16)/Datos!X16," - ")</f>
        <v>0.27592954990215263</v>
      </c>
      <c r="H16" s="454">
        <f>IF(ISNUMBER(((NºAsuntos!G16/NºAsuntos!E16)-Datos!BD16)/Datos!BD16),((NºAsuntos!G16/NºAsuntos!E16)-Datos!BD16)/Datos!BD16," - ")</f>
        <v>4.3521229617236021E-2</v>
      </c>
      <c r="I16" s="455">
        <f>IF(ISNUMBER(((NºAsuntos!I16/NºAsuntos!G16)-Datos!BE16)/Datos!BE16),((NºAsuntos!I16/NºAsuntos!G16)-Datos!BE16)/Datos!BE16," - ")</f>
        <v>-8.5097148681303539E-2</v>
      </c>
      <c r="J16" s="460">
        <f>IF(ISNUMBER((('Resol  Asuntos'!D16/NºAsuntos!G16)-Datos!BF16)/Datos!BF16),(('Resol  Asuntos'!D16/NºAsuntos!G16)-Datos!BF16)/Datos!BF16," - ")</f>
        <v>-0.30084512332540375</v>
      </c>
      <c r="K16" s="461">
        <f>IF(ISNUMBER((((NºAsuntos!C16+NºAsuntos!E16)/NºAsuntos!G16)-Datos!BG16)/Datos!BG16),(((NºAsuntos!C16+NºAsuntos!E16)/NºAsuntos!G16)-Datos!BG16)/Datos!BG16," - ")</f>
        <v>-6.8916521740723116E-2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-0.20805369127516779</v>
      </c>
      <c r="C17" s="455">
        <f>IF(ISNUMBER(
   IF(D_I="SI",(Datos!J17-Datos!T17)/Datos!T17,(Datos!J17+Datos!AD17-(Datos!T17+Datos!AL17))/(Datos!T17+Datos!AL17))
     ),IF(D_I="SI",(Datos!J17-Datos!T17)/Datos!T17,(Datos!J17+Datos!AD17-(Datos!T17+Datos!AL17))/(Datos!T17+Datos!AL17))," - ")</f>
        <v>-3.7037037037037035E-2</v>
      </c>
      <c r="D17" s="455">
        <f>IF(ISNUMBER(
   IF(D_I="SI",(Datos!K17-Datos!U17)/Datos!U17,(Datos!K17+Datos!AE17-(Datos!U17+Datos!AM17))/(Datos!U17+Datos!AM17))
     ),IF(D_I="SI",(Datos!K17-Datos!U17)/Datos!U17,(Datos!K17+Datos!AE17-(Datos!U17+Datos!AM17))/(Datos!U17+Datos!AM17))," - ")</f>
        <v>0.42399999999999999</v>
      </c>
      <c r="E17" s="455">
        <f>IF(ISNUMBER(
   IF(D_I="SI",(Datos!L17-Datos!V17)/Datos!V17,(Datos!L17+Datos!AF17-(Datos!V17+Datos!AN17))/(Datos!V17+Datos!AN17))
     ),IF(D_I="SI",(Datos!L17-Datos!V17)/Datos!V17,(Datos!L17+Datos!AF17-(Datos!V17+Datos!AN17))/(Datos!V17+Datos!AN17))," - ")</f>
        <v>-0.1864406779661017</v>
      </c>
      <c r="F17" s="455">
        <f>IF(ISNUMBER((Datos!M17-Datos!W17)/Datos!W17),(Datos!M17-Datos!W17)/Datos!W17," - ")</f>
        <v>1</v>
      </c>
      <c r="G17" s="456">
        <f>IF(ISNUMBER((Datos!N17-Datos!X17)/Datos!X17),(Datos!N17-Datos!X17)/Datos!X17," - ")</f>
        <v>-1.9801980198019802E-2</v>
      </c>
      <c r="H17" s="454">
        <f>IF(ISNUMBER(((NºAsuntos!G17/NºAsuntos!E17)-Datos!BD17)/Datos!BD17),((NºAsuntos!G17/NºAsuntos!E17)-Datos!BD17)/Datos!BD17," - ")</f>
        <v>0.47876923076923072</v>
      </c>
      <c r="I17" s="455">
        <f>IF(ISNUMBER(((NºAsuntos!I17/NºAsuntos!G17)-Datos!BE17)/Datos!BE17),((NºAsuntos!I17/NºAsuntos!G17)-Datos!BE17)/Datos!BE17," - ")</f>
        <v>-0.42868025138068938</v>
      </c>
      <c r="J17" s="460">
        <f>IF(ISNUMBER((('Resol  Asuntos'!D17/NºAsuntos!G17)-Datos!BF17)/Datos!BF17),(('Resol  Asuntos'!D17/NºAsuntos!G17)-Datos!BF17)/Datos!BF17," - ")</f>
        <v>0.40449438202247184</v>
      </c>
      <c r="K17" s="461">
        <f>IF(ISNUMBER((((NºAsuntos!C17+NºAsuntos!E17)/NºAsuntos!G17)-Datos!BG17)/Datos!BG17),(((NºAsuntos!C17+NºAsuntos!E17)/NºAsuntos!G17)-Datos!BG17)/Datos!BG17," - ")</f>
        <v>-0.38129990245312329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6.1244979919678713E-2</v>
      </c>
      <c r="C18" s="854">
        <f>IF(ISNUMBER(
   IF(Criterios!B14="SI",(Datos!J18-Datos!T18)/Datos!T18,(Datos!J18+Datos!AD18-(Datos!T18+Datos!AL18))/(Datos!T18+Datos!AL18))
     ),IF(Criterios!B14="SI",(Datos!J18-Datos!T18)/Datos!T18,(Datos!J18+Datos!AD18-(Datos!T18+Datos!AL18))/(Datos!T18+Datos!AL18))," - ")</f>
        <v>0.15541090317331163</v>
      </c>
      <c r="D18" s="854">
        <f>IF(ISNUMBER(
   IF(Criterios!B14="SI",(Datos!K18-Datos!U18)/Datos!U18,(Datos!K18+Datos!AE18-(Datos!U18+Datos!AM18))/(Datos!U18+Datos!AM18))
     ),IF(Criterios!B14="SI",(Datos!K18-Datos!U18)/Datos!U18,(Datos!K18+Datos!AE18-(Datos!U18+Datos!AM18))/(Datos!U18+Datos!AM18))," - ")</f>
        <v>0.25858778625954199</v>
      </c>
      <c r="E18" s="854">
        <f>IF(ISNUMBER(
   IF(Criterios!B14="SI",(Datos!L18-Datos!V18)/Datos!V18,(Datos!L18+Datos!AF18-(Datos!V18+Datos!AN18))/(Datos!V18+Datos!AN18))
     ),IF(Criterios!B14="SI",(Datos!L18-Datos!V18)/Datos!V18,(Datos!L18+Datos!AF18-(Datos!V18+Datos!AN18))/(Datos!V18+Datos!AN18))," - ")</f>
        <v>9.5553453169347213E-2</v>
      </c>
      <c r="F18" s="855">
        <f>IF(ISNUMBER((Datos!M18-Datos!W18)/Datos!W18),(Datos!M18-Datos!W18)/Datos!W18," - ")</f>
        <v>-0.11188811188811189</v>
      </c>
      <c r="G18" s="856">
        <f>IF(ISNUMBER((Datos!N18-Datos!X18)/Datos!X18),(Datos!N18-Datos!X18)/Datos!X18," - ")</f>
        <v>0.22712418300653595</v>
      </c>
      <c r="H18" s="856">
        <f>IF(ISNUMBER(((NºAsuntos!G18/NºAsuntos!E18)-Datos!BD18)/Datos!BD18),((NºAsuntos!G18/NºAsuntos!E18)-Datos!BD18)/Datos!BD18," - ")</f>
        <v>8.9298865713364123E-2</v>
      </c>
      <c r="I18" s="856">
        <f>IF(ISNUMBER(((NºAsuntos!I18/NºAsuntos!G18)-Datos!BE18)/Datos!BE18),((NºAsuntos!I18/NºAsuntos!G18)-Datos!BE18)/Datos!BE18," - ")</f>
        <v>-0.12953751408531025</v>
      </c>
      <c r="J18" s="856">
        <f>IF(ISNUMBER((('Resol  Asuntos'!D18/NºAsuntos!G18)-Datos!BF18)/Datos!BF18),(('Resol  Asuntos'!D18/NºAsuntos!G18)-Datos!BF18)/Datos!BF18," - ")</f>
        <v>-0.29435840883907599</v>
      </c>
      <c r="K18" s="856">
        <f>IF(ISNUMBER((((NºAsuntos!C18+NºAsuntos!E18)/NºAsuntos!G18)-Datos!BG18)/Datos!BG18),(((NºAsuntos!C18+NºAsuntos!E18)/NºAsuntos!G18)-Datos!BG18)/Datos!BG18," - ")</f>
        <v>-0.11547018084861707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0.26471910112359548</v>
      </c>
      <c r="C19" s="801">
        <f>IF(ISNUMBER(
   IF(J_V="SI",(Datos!J19-Datos!T19)/Datos!T19,(Datos!J19+Datos!Z19-(Datos!T19+Datos!AH19))/(Datos!T19+Datos!AH19))
     ),IF(J_V="SI",(Datos!J19-Datos!T19)/Datos!T19,(Datos!J19+Datos!Z19-(Datos!T19+Datos!AH19))/(Datos!T19+Datos!AH19))," - ")</f>
        <v>-9.8214285714285712E-2</v>
      </c>
      <c r="D19" s="801">
        <f>IF(ISNUMBER(
   IF(J_V="SI",(Datos!K19-Datos!U19)/Datos!U19,(Datos!K19+Datos!AA19-(Datos!U19+Datos!AI19))/(Datos!U19+Datos!AI19))
     ),IF(J_V="SI",(Datos!K19-Datos!U19)/Datos!U19,(Datos!K19+Datos!AA19-(Datos!U19+Datos!AI19))/(Datos!U19+Datos!AI19))," - ")</f>
        <v>0.2062415196743555</v>
      </c>
      <c r="E19" s="801">
        <f>IF(ISNUMBER(
   IF(J_V="SI",(Datos!L19-Datos!V19)/Datos!V19,(Datos!L19+Datos!AB19-(Datos!V19+Datos!AJ19))/(Datos!V19+Datos!AJ19))
     ),IF(J_V="SI",(Datos!L19-Datos!V19)/Datos!V19,(Datos!L19+Datos!AB19-(Datos!V19+Datos!AJ19))/(Datos!V19+Datos!AJ19))," - ")</f>
        <v>5.9346126510305616E-2</v>
      </c>
      <c r="F19" s="802">
        <f>IF(ISNUMBER((Datos!M19-Datos!W19)/Datos!W19),(Datos!M19-Datos!W19)/Datos!W19," - ")</f>
        <v>0.23059360730593606</v>
      </c>
      <c r="G19" s="803">
        <f>IF(ISNUMBER((Datos!N19-Datos!X19)/Datos!X19),(Datos!N19-Datos!X19)/Datos!X19," - ")</f>
        <v>0.21435897435897436</v>
      </c>
      <c r="H19" s="804">
        <f>IF(ISNUMBER((Tasas!B19-Datos!BD19)/Datos!BD19),(Tasas!B19-Datos!BD19)/Datos!BD19," - ")</f>
        <v>0.33761435845077037</v>
      </c>
      <c r="I19" s="805">
        <f>IF(ISNUMBER((Tasas!C19-Datos!BE19)/Datos!BE19),(Tasas!C19-Datos!BE19)/Datos!BE19," - ")</f>
        <v>-0.12177942042958907</v>
      </c>
      <c r="J19" s="806">
        <f>IF(ISNUMBER((Tasas!D19-Datos!BF19)/Datos!BF19),(Tasas!D19-Datos!BF19)/Datos!BF19," - ")</f>
        <v>-0.11691201643272851</v>
      </c>
      <c r="K19" s="806">
        <f>IF(ISNUMBER((Tasas!E19-Datos!BG19)/Datos!BG19),(Tasas!E19-Datos!BG19)/Datos!BG19," - ")</f>
        <v>-0.12752497991472386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d8pjSWOTq02e2eddpNFiKQ2mSOUF7VqVd1Yetk3h021jLFW7FVw/hZAw+zYaaoYj0YNbgV3FO2lVbtpAXh9vQ==" saltValue="XTDa/F7dETHcrz5pZOwN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MONFORTE DE LEMOS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0.9663082437275986</v>
      </c>
      <c r="C12" s="442">
        <f>IF(ISNUMBER(NºAsuntos!I12/NºAsuntos!G12),NºAsuntos!I12/NºAsuntos!G12," - ")</f>
        <v>1.3301186943620178</v>
      </c>
      <c r="D12" s="443">
        <f>IF(ISNUMBER('Resol  Asuntos'!D12/NºAsuntos!G12),'Resol  Asuntos'!D12/NºAsuntos!G12," - ")</f>
        <v>0.3056379821958457</v>
      </c>
      <c r="E12" s="444">
        <f>IF(ISNUMBER((NºAsuntos!C12+NºAsuntos!E12)/NºAsuntos!G12),(NºAsuntos!C12+NºAsuntos!E12)/NºAsuntos!G12," - ")</f>
        <v>2.3256676557863503</v>
      </c>
      <c r="G12" s="462"/>
    </row>
    <row r="13" spans="1:7" ht="14.25" thickTop="1" thickBot="1">
      <c r="A13" s="847" t="str">
        <f>Datos!A13</f>
        <v>TOTAL</v>
      </c>
      <c r="B13" s="857">
        <f>IF(ISNUMBER(NºAsuntos!G13/NºAsuntos!E13),NºAsuntos!G13/NºAsuntos!E13," - ")</f>
        <v>0.95738636363636365</v>
      </c>
      <c r="C13" s="858">
        <f>IF(ISNUMBER(NºAsuntos!I13/NºAsuntos!G13),NºAsuntos!I13/NºAsuntos!G13," - ")</f>
        <v>1.3523738872403561</v>
      </c>
      <c r="D13" s="859">
        <f>IF(ISNUMBER('Resol  Asuntos'!D13/NºAsuntos!G13),'Resol  Asuntos'!D13/NºAsuntos!G13," - ")</f>
        <v>0.3056379821958457</v>
      </c>
      <c r="E13" s="860">
        <f>IF(ISNUMBER((NºAsuntos!C13+NºAsuntos!E13)/NºAsuntos!G13),(NºAsuntos!C13+NºAsuntos!E13)/NºAsuntos!G13," - ")</f>
        <v>2.3479228486646884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0.90268987341772156</v>
      </c>
      <c r="C16" s="442">
        <f>IF(ISNUMBER(NºAsuntos!I16/NºAsuntos!G16),NºAsuntos!I16/NºAsuntos!G16," - ")</f>
        <v>0.93076248904469761</v>
      </c>
      <c r="D16" s="443">
        <f>IF(ISNUMBER('Resol  Asuntos'!D16/NºAsuntos!G16),'Resol  Asuntos'!D16/NºAsuntos!G16," - ")</f>
        <v>0.10604732690622261</v>
      </c>
      <c r="E16" s="444">
        <f>IF(ISNUMBER((NºAsuntos!C16+NºAsuntos!E16)/NºAsuntos!G16),(NºAsuntos!C16+NºAsuntos!E16)/NºAsuntos!G16," - ")</f>
        <v>1.9307624890446977</v>
      </c>
      <c r="G16" s="462"/>
    </row>
    <row r="17" spans="1:7" ht="21.75" thickBot="1">
      <c r="A17" s="401" t="str">
        <f>Datos!A17</f>
        <v>Jdos. Violencia contra la mujer/Secc Viol. TI.</v>
      </c>
      <c r="B17" s="441">
        <f>IF(ISNUMBER(NºAsuntos!G17/NºAsuntos!E17),NºAsuntos!G17/NºAsuntos!E17," - ")</f>
        <v>1.141025641025641</v>
      </c>
      <c r="C17" s="442">
        <f>IF(ISNUMBER(NºAsuntos!I17/NºAsuntos!G17),NºAsuntos!I17/NºAsuntos!G17," - ")</f>
        <v>0.5393258426966292</v>
      </c>
      <c r="D17" s="443">
        <f>IF(ISNUMBER('Resol  Asuntos'!D17/NºAsuntos!G17),'Resol  Asuntos'!D17/NºAsuntos!G17," - ")</f>
        <v>3.3707865168539325E-2</v>
      </c>
      <c r="E17" s="444">
        <f>IF(ISNUMBER((NºAsuntos!C17+NºAsuntos!E17)/NºAsuntos!G17),(NºAsuntos!C17+NºAsuntos!E17)/NºAsuntos!G17," - ")</f>
        <v>1.5393258426966292</v>
      </c>
      <c r="G17" s="462"/>
    </row>
    <row r="18" spans="1:7" ht="14.25" thickTop="1" thickBot="1">
      <c r="A18" s="847" t="str">
        <f>Datos!A18</f>
        <v>TOTAL</v>
      </c>
      <c r="B18" s="857">
        <f>IF(ISNUMBER(NºAsuntos!G18/NºAsuntos!E18),NºAsuntos!G18/NºAsuntos!E18," - ")</f>
        <v>0.9288732394366197</v>
      </c>
      <c r="C18" s="858">
        <f>IF(ISNUMBER(NºAsuntos!I18/NºAsuntos!G18),NºAsuntos!I18/NºAsuntos!G18," - ")</f>
        <v>0.87793783169067474</v>
      </c>
      <c r="D18" s="861">
        <f>IF(ISNUMBER('Resol  Asuntos'!D18/NºAsuntos!G18),'Resol  Asuntos'!D18/NºAsuntos!G18," - ")</f>
        <v>9.6285064442759666E-2</v>
      </c>
      <c r="E18" s="860">
        <f>IF(ISNUMBER((NºAsuntos!C18+NºAsuntos!E18)/NºAsuntos!G18),(NºAsuntos!C18+NºAsuntos!E18)/NºAsuntos!G18," - ")</f>
        <v>1.8779378316906747</v>
      </c>
      <c r="G18" s="462"/>
    </row>
    <row r="19" spans="1:7" ht="15.75" customHeight="1" thickTop="1" thickBot="1">
      <c r="A19" s="792" t="str">
        <f>Datos!A19</f>
        <v>TOTAL JURISDICCIONES</v>
      </c>
      <c r="B19" s="807">
        <f>IF(ISNUMBER(NºAsuntos!G19/NºAsuntos!E19),NºAsuntos!G19/NºAsuntos!E19," - ")</f>
        <v>0.94306930693069302</v>
      </c>
      <c r="C19" s="808">
        <f>IF(ISNUMBER(NºAsuntos!I19/NºAsuntos!G19),NºAsuntos!I19/NºAsuntos!G19," - ")</f>
        <v>1.1177352830896139</v>
      </c>
      <c r="D19" s="809">
        <f>IF(ISNUMBER('Resol  Asuntos'!D19/NºAsuntos!G19),'Resol  Asuntos'!D19/NºAsuntos!G19," - ")</f>
        <v>0.20209973753280841</v>
      </c>
      <c r="E19" s="810">
        <f>IF(ISNUMBER((NºAsuntos!C19+NºAsuntos!E19)/NºAsuntos!G19),(NºAsuntos!C19+NºAsuntos!E19)/NºAsuntos!G19," - ")</f>
        <v>2.1154855643044619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OyrxVa+uJuoZy4ymgZCrJR+5KEBO1kdJXoC6ogBt1HIeVDzrdA9fchJ2MVIMgrJRbFhDFTfWcanTQ8KNPzL9A==" saltValue="1pxuE6wquNyO7OhHJd0+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MONFORTE DE LEMOS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30</v>
      </c>
      <c r="AB10" s="333">
        <f>IF(ISNUMBER(Datos!R10),Datos!R10," - ")</f>
        <v>1</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158</v>
      </c>
      <c r="Y12" s="333">
        <f t="shared" si="0"/>
        <v>158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412</v>
      </c>
      <c r="AJ12" s="228" t="str">
        <f>IF(ISNUMBER(Datos!BW12),Datos!BW12," - ")</f>
        <v xml:space="preserve"> - </v>
      </c>
      <c r="AK12" s="227" t="str">
        <f>IF(ISNUMBER(Datos!BX12),Datos!BX12," - ")</f>
        <v xml:space="preserve"> - </v>
      </c>
      <c r="AL12" s="242">
        <f>IF(ISNUMBER(NºAsuntos!G12/NºAsuntos!E12),NºAsuntos!G12/NºAsuntos!E12," - ")</f>
        <v>0.9663082437275986</v>
      </c>
      <c r="AM12" s="259">
        <f>IF(ISNUMBER(((NºAsuntos!I12/NºAsuntos!G12)*11)/factor_trimestre),((NºAsuntos!I12/NºAsuntos!G12)*11)/factor_trimestre," - ")</f>
        <v>14.631305637982196</v>
      </c>
      <c r="AN12" s="243">
        <f>IF(ISNUMBER('Resol  Asuntos'!D12/NºAsuntos!G12),'Resol  Asuntos'!D12/NºAsuntos!G12," - ")</f>
        <v>0.3056379821958457</v>
      </c>
      <c r="AO12" s="244">
        <f>IF(ISNUMBER((NºAsuntos!C12+NºAsuntos!E12)/NºAsuntos!G12),(NºAsuntos!C12+NºAsuntos!E12)/NºAsuntos!G12," - ")</f>
        <v>2.3256676557863503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323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158</v>
      </c>
      <c r="Y13" s="867">
        <f t="shared" si="4"/>
        <v>158</v>
      </c>
      <c r="Z13" s="867">
        <f t="shared" si="4"/>
        <v>0</v>
      </c>
      <c r="AA13" s="867">
        <f t="shared" si="4"/>
        <v>30</v>
      </c>
      <c r="AB13" s="867">
        <f t="shared" si="4"/>
        <v>1297</v>
      </c>
      <c r="AC13" s="867">
        <f t="shared" si="4"/>
        <v>31</v>
      </c>
      <c r="AD13" s="867">
        <f t="shared" si="4"/>
        <v>0</v>
      </c>
      <c r="AE13" s="871">
        <f t="shared" si="4"/>
        <v>0</v>
      </c>
      <c r="AF13" s="864">
        <f t="shared" si="4"/>
        <v>0</v>
      </c>
      <c r="AG13" s="872">
        <f t="shared" si="4"/>
        <v>0</v>
      </c>
      <c r="AH13" s="869">
        <f t="shared" si="4"/>
        <v>0</v>
      </c>
      <c r="AI13" s="864">
        <f t="shared" si="4"/>
        <v>412</v>
      </c>
      <c r="AJ13" s="866">
        <f t="shared" si="4"/>
        <v>0</v>
      </c>
      <c r="AK13" s="869">
        <f>SUBTOTAL(9,AK9:AK12)</f>
        <v>0</v>
      </c>
      <c r="AL13" s="873">
        <f>IF(ISNUMBER(NºAsuntos!G13/NºAsuntos!E13),NºAsuntos!G13/NºAsuntos!E13," - ")</f>
        <v>0.95738636363636365</v>
      </c>
      <c r="AM13" s="873">
        <f>IF(ISNUMBER(((NºAsuntos!I13/NºAsuntos!G13)*11)/factor_trimestre),((NºAsuntos!I13/NºAsuntos!G13)*11)/factor_trimestre," - ")</f>
        <v>14.876112759643917</v>
      </c>
      <c r="AN13" s="874">
        <f>IF(ISNUMBER('Resol  Asuntos'!D13/NºAsuntos!G13),'Resol  Asuntos'!D13/NºAsuntos!G13," - ")</f>
        <v>0.3056379821958457</v>
      </c>
      <c r="AO13" s="875">
        <f>IF(ISNUMBER((NºAsuntos!C13+NºAsuntos!E13)/NºAsuntos!G13),(NºAsuntos!C13+NºAsuntos!E13)/NºAsuntos!G13," - ")</f>
        <v>2.3479228486646884</v>
      </c>
      <c r="AP13" s="876" t="str">
        <f t="shared" si="2"/>
        <v xml:space="preserve"> - </v>
      </c>
      <c r="AQ13" s="876">
        <f>IF(ISNUMBER((H13-W13+K13)/(F13)),(H13-W13+K13)/(F13)," - ")</f>
        <v>0</v>
      </c>
      <c r="AR13" s="877">
        <f>IF(ISNUMBER((Datos!P13-Datos!Q13)/(Datos!R13-Datos!P13+Datos!Q13)),(Datos!P13-Datos!Q13)/(Datos!R13-Datos!P13+Datos!Q13)," - ")</f>
        <v>0.14575971731448764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939</v>
      </c>
      <c r="G16" s="332">
        <f>IF(ISNUMBER(IF(D_I="SI",Datos!I16,Datos!I16+Datos!AC16)),IF(D_I="SI",Datos!I16,Datos!I16+Datos!AC16)," - ")</f>
        <v>939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1141</v>
      </c>
      <c r="X16" s="225">
        <f>IF(ISNUMBER(Datos!Q16),Datos!Q16," - ")</f>
        <v>11</v>
      </c>
      <c r="Y16" s="333">
        <f t="shared" ref="Y16:Y17" si="7">SUM(W16:X16)</f>
        <v>1152</v>
      </c>
      <c r="Z16" s="334" t="str">
        <f>IF(ISNUMBER(Datos!CC16),Datos!CC16," - ")</f>
        <v xml:space="preserve"> - </v>
      </c>
      <c r="AA16" s="331">
        <f>IF(ISNUMBER(IF(D_I="SI",Datos!L16,Datos!L16+Datos!AF16)),IF(D_I="SI",Datos!L16,Datos!L16+Datos!AF16)," - ")</f>
        <v>1062</v>
      </c>
      <c r="AB16" s="333">
        <f>IF(ISNUMBER(Datos!R16),Datos!R16," - ")</f>
        <v>80</v>
      </c>
      <c r="AC16" s="333">
        <f t="shared" si="6"/>
        <v>1142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121</v>
      </c>
      <c r="AJ16" s="230" t="str">
        <f>IF(ISNUMBER(Datos!BW16),Datos!BW16," - ")</f>
        <v xml:space="preserve"> - </v>
      </c>
      <c r="AK16" s="231" t="str">
        <f>IF(ISNUMBER(Datos!BX16),Datos!BX16," - ")</f>
        <v xml:space="preserve"> - </v>
      </c>
      <c r="AL16" s="242">
        <f>IF(ISNUMBER(NºAsuntos!G16/NºAsuntos!E16),NºAsuntos!G16/NºAsuntos!E16," - ")</f>
        <v>0.90268987341772156</v>
      </c>
      <c r="AM16" s="259">
        <f>IF(ISNUMBER(((NºAsuntos!I16/NºAsuntos!G16)*11)/factor_trimestre),((NºAsuntos!I16/NºAsuntos!G16)*11)/factor_trimestre," - ")</f>
        <v>10.238387379491673</v>
      </c>
      <c r="AN16" s="243">
        <f>IF(ISNUMBER('Resol  Asuntos'!D16/NºAsuntos!G16),'Resol  Asuntos'!D16/NºAsuntos!G16," - ")</f>
        <v>0.10604732690622261</v>
      </c>
      <c r="AO16" s="244">
        <f>IF(ISNUMBER((NºAsuntos!C16+NºAsuntos!E16)/NºAsuntos!G16),(NºAsuntos!C16+NºAsuntos!E16)/NºAsuntos!G16," - ")</f>
        <v>1.9307624890446977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178</v>
      </c>
      <c r="X17" s="225">
        <f>IF(ISNUMBER(Datos!Q17),Datos!Q17," - ")</f>
        <v>0</v>
      </c>
      <c r="Y17" s="333">
        <f t="shared" si="7"/>
        <v>178</v>
      </c>
      <c r="Z17" s="334" t="str">
        <f>IF(ISNUMBER(Datos!CC17),Datos!CC17," - ")</f>
        <v xml:space="preserve"> - </v>
      </c>
      <c r="AA17" s="331">
        <f>IF(ISNUMBER(Datos!L17),Datos!L17,"-")</f>
        <v>96</v>
      </c>
      <c r="AB17" s="333">
        <f>IF(ISNUMBER(Datos!R17),Datos!R17," - ")</f>
        <v>1</v>
      </c>
      <c r="AC17" s="333">
        <f t="shared" si="6"/>
        <v>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1.141025641025641</v>
      </c>
      <c r="AM17" s="259">
        <f>IF(ISNUMBER(((NºAsuntos!I17/NºAsuntos!G17)*11)/factor_trimestre),((NºAsuntos!I17/NºAsuntos!G17)*11)/factor_trimestre," - ")</f>
        <v>5.9325842696629216</v>
      </c>
      <c r="AN17" s="243">
        <f>IF(ISNUMBER('Resol  Asuntos'!D17/NºAsuntos!G17),'Resol  Asuntos'!D17/NºAsuntos!G17," - ")</f>
        <v>3.3707865168539325E-2</v>
      </c>
      <c r="AO17" s="244">
        <f>IF(ISNUMBER((NºAsuntos!C17+NºAsuntos!E17)/NºAsuntos!G17),(NºAsuntos!C17+NºAsuntos!E17)/NºAsuntos!G17," - ")</f>
        <v>1.5393258426966292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939</v>
      </c>
      <c r="G18" s="865">
        <f>SUBTOTAL(9,G15:G17)</f>
        <v>1057</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1319</v>
      </c>
      <c r="X18" s="866">
        <f t="shared" si="11"/>
        <v>11</v>
      </c>
      <c r="Y18" s="867">
        <f t="shared" si="11"/>
        <v>1330</v>
      </c>
      <c r="Z18" s="867">
        <f t="shared" si="11"/>
        <v>0</v>
      </c>
      <c r="AA18" s="867">
        <f t="shared" si="11"/>
        <v>1158</v>
      </c>
      <c r="AB18" s="867">
        <f t="shared" si="11"/>
        <v>81</v>
      </c>
      <c r="AC18" s="867">
        <f t="shared" si="11"/>
        <v>1239</v>
      </c>
      <c r="AD18" s="867">
        <f t="shared" si="11"/>
        <v>0</v>
      </c>
      <c r="AE18" s="871">
        <f t="shared" si="11"/>
        <v>0</v>
      </c>
      <c r="AF18" s="864">
        <f t="shared" si="11"/>
        <v>0</v>
      </c>
      <c r="AG18" s="872">
        <f t="shared" si="11"/>
        <v>0</v>
      </c>
      <c r="AH18" s="869">
        <f t="shared" si="11"/>
        <v>0</v>
      </c>
      <c r="AI18" s="864">
        <f t="shared" si="11"/>
        <v>127</v>
      </c>
      <c r="AJ18" s="866">
        <f t="shared" si="11"/>
        <v>0</v>
      </c>
      <c r="AK18" s="869">
        <f t="shared" si="11"/>
        <v>0</v>
      </c>
      <c r="AL18" s="873">
        <f>IF(ISNUMBER(NºAsuntos!G18/NºAsuntos!E18),NºAsuntos!G18/NºAsuntos!E18," - ")</f>
        <v>0.9288732394366197</v>
      </c>
      <c r="AM18" s="873">
        <f>IF(ISNUMBER(((NºAsuntos!I18/NºAsuntos!G18)*11)/factor_trimestre),((NºAsuntos!I18/NºAsuntos!G18)*11)/factor_trimestre," - ")</f>
        <v>9.6573161485974222</v>
      </c>
      <c r="AN18" s="874">
        <f>IF(ISNUMBER('Resol  Asuntos'!D18/NºAsuntos!G18),'Resol  Asuntos'!D18/NºAsuntos!G18," - ")</f>
        <v>9.6285064442759666E-2</v>
      </c>
      <c r="AO18" s="875">
        <f>IF(ISNUMBER((NºAsuntos!C18+NºAsuntos!E18)/NºAsuntos!G18),(NºAsuntos!C18+NºAsuntos!E18)/NºAsuntos!G18," - ")</f>
        <v>1.8779378316906747</v>
      </c>
      <c r="AP18" s="876" t="str">
        <f t="shared" si="2"/>
        <v xml:space="preserve"> - </v>
      </c>
      <c r="AQ18" s="876">
        <f>IF(ISNUMBER((H18-W18+K18)/(F18)),(H18-W18+K18)/(F18)," - ")</f>
        <v>-1.4046858359957402</v>
      </c>
      <c r="AR18" s="877">
        <f>IF(ISNUMBER((Datos!P18-Datos!Q18)/(Datos!R18-Datos!P18+Datos!Q18)),(Datos!P18-Datos!Q18)/(Datos!R18-Datos!P18+Datos!Q18)," - ")</f>
        <v>0.24615384615384617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956</v>
      </c>
      <c r="G19" s="820">
        <f t="shared" si="13"/>
        <v>1074</v>
      </c>
      <c r="H19" s="819">
        <f t="shared" si="13"/>
        <v>0</v>
      </c>
      <c r="I19" s="821">
        <f t="shared" si="13"/>
        <v>0</v>
      </c>
      <c r="J19" s="821">
        <f t="shared" si="13"/>
        <v>0</v>
      </c>
      <c r="K19" s="880">
        <f t="shared" si="13"/>
        <v>0</v>
      </c>
      <c r="L19" s="821">
        <f t="shared" si="13"/>
        <v>350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1319</v>
      </c>
      <c r="X19" s="820">
        <f t="shared" si="14"/>
        <v>169</v>
      </c>
      <c r="Y19" s="827">
        <f t="shared" si="14"/>
        <v>1488</v>
      </c>
      <c r="Z19" s="827">
        <f t="shared" si="14"/>
        <v>0</v>
      </c>
      <c r="AA19" s="827">
        <f t="shared" si="14"/>
        <v>1188</v>
      </c>
      <c r="AB19" s="827">
        <f t="shared" si="14"/>
        <v>1378</v>
      </c>
      <c r="AC19" s="827">
        <f t="shared" si="14"/>
        <v>1270</v>
      </c>
      <c r="AD19" s="827">
        <f t="shared" si="14"/>
        <v>0</v>
      </c>
      <c r="AE19" s="829">
        <f t="shared" si="14"/>
        <v>0</v>
      </c>
      <c r="AF19" s="830">
        <f t="shared" si="14"/>
        <v>0</v>
      </c>
      <c r="AG19" s="831">
        <f t="shared" si="14"/>
        <v>0</v>
      </c>
      <c r="AH19" s="829">
        <f t="shared" si="14"/>
        <v>0</v>
      </c>
      <c r="AI19" s="819">
        <f t="shared" si="14"/>
        <v>539</v>
      </c>
      <c r="AJ19" s="819">
        <f t="shared" si="14"/>
        <v>0</v>
      </c>
      <c r="AK19" s="829">
        <f t="shared" si="14"/>
        <v>0</v>
      </c>
      <c r="AL19" s="883">
        <f>IF(ISNUMBER(NºAsuntos!G19/NºAsuntos!E19),NºAsuntos!G19/NºAsuntos!E19," - ")</f>
        <v>0.94306930693069302</v>
      </c>
      <c r="AM19" s="884">
        <f>IF(ISNUMBER(((NºAsuntos!I19/NºAsuntos!G19)*11)/factor_trimestre),((NºAsuntos!I19/NºAsuntos!G19)*11)/factor_trimestre," - ")</f>
        <v>12.295088113985752</v>
      </c>
      <c r="AN19" s="884">
        <f>IF(ISNUMBER('Resol  Asuntos'!D19/NºAsuntos!G19),'Resol  Asuntos'!D19/NºAsuntos!G19," - ")</f>
        <v>0.20209973753280841</v>
      </c>
      <c r="AO19" s="885">
        <f>IF(ISNUMBER((NºAsuntos!C19+NºAsuntos!E19)/NºAsuntos!G19),(NºAsuntos!C19+NºAsuntos!E19)/NºAsuntos!G19," - ")</f>
        <v>2.1154855643044619</v>
      </c>
      <c r="AP19" s="886" t="str">
        <f t="shared" si="2"/>
        <v xml:space="preserve"> - </v>
      </c>
      <c r="AQ19" s="887">
        <f>IF(OR(ISNUMBER(FIND("01",Criterios!A8,1)),ISNUMBER(FIND("02",Criterios!A8,1)),ISNUMBER(FIND("03",Criterios!A8,1)),ISNUMBER(FIND("04",Criterios!A8,1))),(I19-W19+K19)/(F19-K19),(H19-W19+K19)/(F19-K19))</f>
        <v>-1.3797071129707112</v>
      </c>
      <c r="AR19" s="888">
        <f>IF(ISNUMBER((Datos!P19-Datos!Q19)/(Datos!R19-Datos!P19+Datos!Q19)),(Datos!P19-Datos!Q19)/(Datos!R19-Datos!P19+Datos!Q19)," - ")</f>
        <v>0.15121136173767752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532.31694819283496</v>
      </c>
      <c r="G21" s="252">
        <f>IF(ISNUMBER(STDEV(G8:G18)),STDEV(G8:G18),"-")</f>
        <v>522.18081159690269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648.36664010419292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187.943253847183</v>
      </c>
      <c r="AJ21" s="251">
        <f t="shared" si="18"/>
        <v>0</v>
      </c>
      <c r="AK21" s="253">
        <f t="shared" si="18"/>
        <v>0</v>
      </c>
      <c r="AL21" s="248">
        <f t="shared" si="18"/>
        <v>0.40849377675326931</v>
      </c>
      <c r="AM21" s="249">
        <f t="shared" si="18"/>
        <v>3.7499882308013697</v>
      </c>
      <c r="AN21" s="249">
        <f t="shared" si="18"/>
        <v>0.12737078357225828</v>
      </c>
      <c r="AO21" s="250">
        <f t="shared" si="18"/>
        <v>0.33872184740768124</v>
      </c>
      <c r="AP21" s="290" t="str">
        <f t="shared" si="18"/>
        <v>-</v>
      </c>
      <c r="AQ21" s="291">
        <f t="shared" si="18"/>
        <v>0.99326288006928243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D2rYJi/++7rIzGGSRHSenH3VznzCMvj6wX8ukg/jIiROuxHNL18zrhvVfJQ0WYyKrGWyak8wiTFdKpQ99p9aA==" saltValue="BMGo0EP7fxYR3wIL21PW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MONFORTE DE LEMOS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4.666666666666667</v>
      </c>
      <c r="E10" s="347">
        <f>IF(ISNUMBER((Datos!J10-Datos!T10)/Datos!T10),(Datos!J10-Datos!T10)/Datos!T10," - ")</f>
        <v>-0.23529411764705882</v>
      </c>
      <c r="F10" s="347" t="str">
        <f>IF(ISNUMBER((Datos!K10-Datos!U10)/Datos!U10),(Datos!K10-Datos!U10)/Datos!U10," - ")</f>
        <v xml:space="preserve"> - </v>
      </c>
      <c r="G10" s="348">
        <f>IF(ISNUMBER((Datos!L10-Datos!V10)/Datos!V10),(Datos!L10-Datos!V10)/Datos!V10," - ")</f>
        <v>0.76470588235294112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0.39661016949152544</v>
      </c>
      <c r="I12" s="349">
        <f>IF(ISNUMBER((Tasas!C12-Datos!BE12)/Datos!BE12),(Tasas!C12-Datos!BE12)/Datos!BE12," - ")</f>
        <v>-0.1109608956649272</v>
      </c>
      <c r="J12" s="348">
        <f>IF(ISNUMBER((Tasas!D12-Datos!BF12)/Datos!BF12),(Tasas!D12-Datos!BF12)/Datos!BF12," - ")</f>
        <v>-2.0779687895954319E-2</v>
      </c>
      <c r="K12" s="350">
        <f>IF(ISNUMBER((Tasas!E12-Datos!BG12)/Datos!BG12),(Tasas!E12-Datos!BG12)/Datos!BG12," - ")</f>
        <v>-0.13197962654700723</v>
      </c>
      <c r="M12" t="e">
        <f>IF(Monitorios="SI",Datos!CE12,0)</f>
        <v>#REF!</v>
      </c>
      <c r="N12" t="e">
        <f>IF(Monitorios="SI",Datos!CF12,0)</f>
        <v>#REF!</v>
      </c>
      <c r="O12" t="e">
        <f>IF(Monitorios="SI",Datos!CG12,0)</f>
        <v>#REF!</v>
      </c>
      <c r="P12" t="e">
        <f>IF(Monitorios="SI",Datos!CH12,0)</f>
        <v>#REF!</v>
      </c>
      <c r="Q12">
        <f>IF(J_V="SI",0,Datos!AG12)</f>
        <v>69</v>
      </c>
      <c r="R12">
        <f>IF(J_V="SI",0,Datos!AH12)</f>
        <v>256</v>
      </c>
      <c r="S12">
        <f>IF(J_V="SI",0,Datos!AI12)</f>
        <v>184</v>
      </c>
      <c r="T12">
        <f>IF(J_V="SI",0,Datos!AJ12)</f>
        <v>144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0.39661016949152544</v>
      </c>
      <c r="I13" s="356">
        <f>IF(ISNUMBER((Tasas!C13-Datos!BE13)/Datos!BE13),(Tasas!C13-Datos!BE13)/Datos!BE13," - ")</f>
        <v>-0.10483162728484106</v>
      </c>
      <c r="J13" s="354">
        <f>IF(ISNUMBER((Tasas!D13-Datos!BF13)/Datos!BF13),(Tasas!D13-Datos!BF13)/Datos!BF13," - ")</f>
        <v>-2.0779687895954319E-2</v>
      </c>
      <c r="K13" s="357">
        <f>IF(ISNUMBER((Tasas!E13-Datos!BG13)/Datos!BG13),(Tasas!E13-Datos!BG13)/Datos!BG13," - ")</f>
        <v>-0.12926203029431352</v>
      </c>
      <c r="M13" t="e">
        <f>IF(Monitorios="SI",Datos!CE13,0)</f>
        <v>#REF!</v>
      </c>
      <c r="N13" t="e">
        <f>IF(Monitorios="SI",Datos!CF13,0)</f>
        <v>#REF!</v>
      </c>
      <c r="O13" t="e">
        <f>IF(Monitorios="SI",Datos!CG13,0)</f>
        <v>#REF!</v>
      </c>
      <c r="P13" t="e">
        <f>IF(Monitorios="SI",Datos!CH13,0)</f>
        <v>#REF!</v>
      </c>
      <c r="Q13">
        <f>IF(J_V="SI",0,Datos!AG13)</f>
        <v>69</v>
      </c>
      <c r="R13">
        <f>IF(J_V="SI",0,Datos!AH13)</f>
        <v>256</v>
      </c>
      <c r="S13">
        <f>IF(J_V="SI",0,Datos!AI13)</f>
        <v>184</v>
      </c>
      <c r="T13">
        <f>IF(J_V="SI",0,Datos!AJ13)</f>
        <v>144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0.10861865407319952</v>
      </c>
      <c r="E16" s="347">
        <f>IF(ISNUMBER(
   IF(D_I="SI",(Datos!J16-Datos!T16)/Datos!T16,(Datos!J16+Datos!AD16-(Datos!T16+Datos!AL16))/(Datos!T16+Datos!AL16))
     ),IF(D_I="SI",(Datos!J16-Datos!T16)/Datos!T16,(Datos!J16+Datos!AD16-(Datos!T16+Datos!AL16))/(Datos!T16+Datos!AL16))," - ")</f>
        <v>0.18462980318650421</v>
      </c>
      <c r="F16" s="347">
        <f>IF(ISNUMBER(
   IF(D_I="SI",(Datos!K16-Datos!U16)/Datos!U16,(Datos!K16+Datos!AE16-(Datos!U16+Datos!AM16))/(Datos!U16+Datos!AM16))
     ),IF(D_I="SI",(Datos!K16-Datos!U16)/Datos!U16,(Datos!K16+Datos!AE16-(Datos!U16+Datos!AM16))/(Datos!U16+Datos!AM16))," - ")</f>
        <v>0.23618634886240519</v>
      </c>
      <c r="G16" s="348">
        <f>IF(ISNUMBER(
   IF(D_I="SI",(Datos!L16-Datos!V16)/Datos!V16,(Datos!L16+Datos!AF16-(Datos!V16+Datos!AN16))/(Datos!V16+Datos!AN16))
     ),IF(D_I="SI",(Datos!L16-Datos!V16)/Datos!V16,(Datos!L16+Datos!AF16-(Datos!V16+Datos!AN16))/(Datos!V16+Datos!AN16))," - ")</f>
        <v>0.13099041533546327</v>
      </c>
      <c r="H16" s="229">
        <f>IF(ISNUMBER((Datos!M16-Datos!W16)/Datos!W16),(Datos!M16-Datos!W16)/Datos!W16," - ")</f>
        <v>-0.1357142857142857</v>
      </c>
      <c r="I16" s="349">
        <f>IF(ISNUMBER((Tasas!C16-Datos!BE16)/Datos!BE16),(Tasas!C16-Datos!BE16)/Datos!BE16," - ")</f>
        <v>-8.5097148681303539E-2</v>
      </c>
      <c r="J16" s="348">
        <f>IF(ISNUMBER((Tasas!D16-Datos!BF16)/Datos!BF16),(Tasas!D16-Datos!BF16)/Datos!BF16," - ")</f>
        <v>-0.30084512332540375</v>
      </c>
      <c r="K16" s="350">
        <f>IF(ISNUMBER((Tasas!E16-Datos!BG16)/Datos!BG16),(Tasas!E16-Datos!BG16)/Datos!BG16," - ")</f>
        <v>-6.8916521740723116E-2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-0.20805369127516779</v>
      </c>
      <c r="E17" s="347">
        <f>IF(ISNUMBER(
   IF(D_I="SI",(Datos!J17-Datos!T17)/Datos!T17,(Datos!J17+Datos!AD17-(Datos!T17+Datos!AL17))/(Datos!T17+Datos!AL17))
     ),IF(D_I="SI",(Datos!J17-Datos!T17)/Datos!T17,(Datos!J17+Datos!AD17-(Datos!T17+Datos!AL17))/(Datos!T17+Datos!AL17))," - ")</f>
        <v>-3.7037037037037035E-2</v>
      </c>
      <c r="F17" s="347">
        <f>IF(ISNUMBER(
   IF(D_I="SI",(Datos!K17-Datos!U17)/Datos!U17,(Datos!K17+Datos!AE17-(Datos!U17+Datos!AM17))/(Datos!U17+Datos!AM17))
     ),IF(D_I="SI",(Datos!K17-Datos!U17)/Datos!U17,(Datos!K17+Datos!AE17-(Datos!U17+Datos!AM17))/(Datos!U17+Datos!AM17))," - ")</f>
        <v>0.42399999999999999</v>
      </c>
      <c r="G17" s="348">
        <f>IF(ISNUMBER(
   IF(D_I="SI",(Datos!L17-Datos!V17)/Datos!V17,(Datos!L17+Datos!AF17-(Datos!V17+Datos!AN17))/(Datos!V17+Datos!AN17))
     ),IF(D_I="SI",(Datos!L17-Datos!V17)/Datos!V17,(Datos!L17+Datos!AF17-(Datos!V17+Datos!AN17))/(Datos!V17+Datos!AN17))," - ")</f>
        <v>-0.1864406779661017</v>
      </c>
      <c r="H17" s="229">
        <f>IF(ISNUMBER((Datos!M17-Datos!W17)/Datos!W17),(Datos!M17-Datos!W17)/Datos!W17," - ")</f>
        <v>1</v>
      </c>
      <c r="I17" s="349">
        <f>IF(ISNUMBER((Tasas!C17-Datos!BE17)/Datos!BE17),(Tasas!C17-Datos!BE17)/Datos!BE17," - ")</f>
        <v>-0.42868025138068938</v>
      </c>
      <c r="J17" s="348">
        <f>IF(ISNUMBER((Tasas!D17-Datos!BF17)/Datos!BF17),(Tasas!D17-Datos!BF17)/Datos!BF17," - ")</f>
        <v>0.40449438202247184</v>
      </c>
      <c r="K17" s="350">
        <f>IF(ISNUMBER((Tasas!E17-Datos!BG17)/Datos!BG17),(Tasas!E17-Datos!BG17)/Datos!BG17," - ")</f>
        <v>-0.38129990245312329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6.1244979919678713E-2</v>
      </c>
      <c r="E18" s="353">
        <f>IF(ISNUMBER(
   IF(D_I="SI",(Datos!J18-Datos!T18)/Datos!T18,(Datos!J18+Datos!AD18-(Datos!T18+Datos!AL18))/(Datos!T18+Datos!AL18))
     ),IF(D_I="SI",(Datos!J18-Datos!T18)/Datos!T18,(Datos!J18+Datos!AD18-(Datos!T18+Datos!AL18))/(Datos!T18+Datos!AL18))," - ")</f>
        <v>0.15541090317331163</v>
      </c>
      <c r="F18" s="353">
        <f>IF(ISNUMBER(
   IF(D_I="SI",(Datos!K18-Datos!U18)/Datos!U18,(Datos!K18+Datos!AE18-(Datos!U18+Datos!AM18))/(Datos!U18+Datos!AM18))
     ),IF(D_I="SI",(Datos!K18-Datos!U18)/Datos!U18,(Datos!K18+Datos!AE18-(Datos!U18+Datos!AM18))/(Datos!U18+Datos!AM18))," - ")</f>
        <v>0.25858778625954199</v>
      </c>
      <c r="G18" s="354">
        <f>IF(ISNUMBER(
   IF(D_I="SI",(Datos!L18-Datos!V18)/Datos!V18,(Datos!L18+Datos!AF18-(Datos!V18+Datos!AN18))/(Datos!V18+Datos!AN18))
     ),IF(D_I="SI",(Datos!L18-Datos!V18)/Datos!V18,(Datos!L18+Datos!AF18-(Datos!V18+Datos!AN18))/(Datos!V18+Datos!AN18))," - ")</f>
        <v>9.5553453169347213E-2</v>
      </c>
      <c r="H18" s="355">
        <f>IF(ISNUMBER((Datos!M18-Datos!W18)/Datos!W18),(Datos!M18-Datos!W18)/Datos!W18," - ")</f>
        <v>-0.11188811188811189</v>
      </c>
      <c r="I18" s="356">
        <f>IF(ISNUMBER((Tasas!C18-Datos!BE18)/Datos!BE18),(Tasas!C18-Datos!BE18)/Datos!BE18," - ")</f>
        <v>-0.12953751408531025</v>
      </c>
      <c r="J18" s="354">
        <f>IF(ISNUMBER((Tasas!D18-Datos!BF18)/Datos!BF18),(Tasas!D18-Datos!BF18)/Datos!BF18," - ")</f>
        <v>-0.29435840883907599</v>
      </c>
      <c r="K18" s="357">
        <f>IF(ISNUMBER((Tasas!E18-Datos!BG18)/Datos!BG18),(Tasas!E18-Datos!BG18)/Datos!BG18," - ")</f>
        <v>-0.11547018084861707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0.26471910112359548</v>
      </c>
      <c r="E19" s="362">
        <f>IF(ISNUMBER(
   IF(J_V="SI",(Datos!J19-Datos!T19)/Datos!T19,(Datos!J19+Datos!Z19-(Datos!T19+Datos!AH19))/(Datos!T19+Datos!AH19))
     ),IF(J_V="SI",(Datos!J19-Datos!T19)/Datos!T19,(Datos!J19+Datos!Z19-(Datos!T19+Datos!AH19))/(Datos!T19+Datos!AH19))," - ")</f>
        <v>-9.8214285714285712E-2</v>
      </c>
      <c r="F19" s="362">
        <f>IF(ISNUMBER(
   IF(J_V="SI",(Datos!K19-Datos!U19)/Datos!U19,(Datos!K19+Datos!AA19-(Datos!U19+Datos!AI19))/(Datos!U19+Datos!AI19))
     ),IF(J_V="SI",(Datos!K19-Datos!U19)/Datos!U19,(Datos!K19+Datos!AA19-(Datos!U19+Datos!AI19))/(Datos!U19+Datos!AI19))," - ")</f>
        <v>0.2062415196743555</v>
      </c>
      <c r="G19" s="363">
        <f>IF(ISNUMBER(
   IF(J_V="SI",(Datos!L19-Datos!V19)/Datos!V19,(Datos!L19+Datos!AB19-(Datos!V19+Datos!AJ19))/(Datos!V19+Datos!AJ19))
     ),IF(J_V="SI",(Datos!L19-Datos!V19)/Datos!V19,(Datos!L19+Datos!AB19-(Datos!V19+Datos!AJ19))/(Datos!V19+Datos!AJ19))," - ")</f>
        <v>5.9346126510305616E-2</v>
      </c>
      <c r="H19" s="364">
        <f>IF(ISNUMBER((Datos!M19-Datos!W19)/Datos!W19),(Datos!M19-Datos!W19)/Datos!W19," - ")</f>
        <v>0.23059360730593606</v>
      </c>
      <c r="I19" s="361">
        <f>IF(ISNUMBER((Tasas!C19-Datos!BE19)/Datos!BE19),(Tasas!C19-Datos!BE19)/Datos!BE19," - ")</f>
        <v>-0.12177942042958907</v>
      </c>
      <c r="J19" s="362">
        <f>IF(ISNUMBER((Tasas!D19-Datos!BF19)/Datos!BF19),(Tasas!D19-Datos!BF19)/Datos!BF19," - ")</f>
        <v>-0.11691201643272851</v>
      </c>
      <c r="K19" s="363">
        <f>IF(ISNUMBER((Tasas!E19-Datos!BG19)/Datos!BG19),(Tasas!E19-Datos!BG19)/Datos!BG19," - ")</f>
        <v>-0.12752497991472386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2.3438511147898211</v>
      </c>
      <c r="E21" s="277">
        <f t="shared" si="1"/>
        <v>0.19479017011012198</v>
      </c>
      <c r="F21" s="277">
        <f t="shared" si="1"/>
        <v>0.10258085624326706</v>
      </c>
      <c r="G21" s="278">
        <f t="shared" si="1"/>
        <v>0.40161953524690275</v>
      </c>
      <c r="H21" s="284">
        <f t="shared" si="1"/>
        <v>0.46576539316308829</v>
      </c>
      <c r="I21" s="276">
        <f t="shared" si="1"/>
        <v>0.14446203908272223</v>
      </c>
      <c r="J21" s="277">
        <f t="shared" si="1"/>
        <v>0.28759529872761092</v>
      </c>
      <c r="K21" s="278">
        <f t="shared" si="1"/>
        <v>0.12332648689928845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UgxomvCxVusxVRxVYcc2nhoR49CBWG4t+HDtpxos2oeh0rWV2Tx7s3ZQ52dwyBJSJ8qqR4RVzN57H+HRF7tjQ==" saltValue="eWIhpsLIO7VUn4iOuIsN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